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kashcoollearning-my.sharepoint.com/personal/finance_kashcool_com_kw/Documents/01. Finance/02. KSA/05. Pitch/"/>
    </mc:Choice>
  </mc:AlternateContent>
  <xr:revisionPtr revIDLastSave="1065" documentId="13_ncr:1_{167C6C47-CBFC-445C-9006-CA74060F80EC}" xr6:coauthVersionLast="47" xr6:coauthVersionMax="47" xr10:uidLastSave="{8E17B40F-769E-41EF-988F-6A06FB39C7BF}"/>
  <bookViews>
    <workbookView xWindow="-110" yWindow="-110" windowWidth="19420" windowHeight="10300" firstSheet="1" activeTab="1" xr2:uid="{00000000-000D-0000-FFFF-FFFF00000000}"/>
  </bookViews>
  <sheets>
    <sheet name="year summary" sheetId="3" r:id="rId1"/>
    <sheet name="year 1" sheetId="4" r:id="rId2"/>
    <sheet name="year 2" sheetId="7" r:id="rId3"/>
    <sheet name="KWT" sheetId="8" r:id="rId4"/>
    <sheet name="250 calc" sheetId="10" r:id="rId5"/>
    <sheet name="1000 calc" sheetId="11" r:id="rId6"/>
    <sheet name="Discount" sheetId="12" r:id="rId7"/>
    <sheet name="Sheet1" sheetId="13" r:id="rId8"/>
    <sheet name="year 3" sheetId="6" state="hidden" r:id="rId9"/>
    <sheet name="Total" sheetId="1" state="hidden" r:id="rId10"/>
    <sheet name="General" sheetId="2" state="hidden" r:id="rId11"/>
  </sheets>
  <definedNames>
    <definedName name="_xlnm.Print_Area" localSheetId="5">'1000 calc'!$A$15:$Q$77</definedName>
    <definedName name="_xlnm.Print_Area" localSheetId="4">'250 calc'!$A$15:$R$85</definedName>
    <definedName name="_xlnm.Print_Area" localSheetId="3">KWT!$A$1:$P$53</definedName>
    <definedName name="_xlnm.Print_Area" localSheetId="1">'year 1'!$A$1:$P$53</definedName>
    <definedName name="_xlnm.Print_Area" localSheetId="2">'year 2'!$A$1:$P$53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4" l="1"/>
  <c r="G33" i="4"/>
  <c r="G36" i="4"/>
  <c r="G41" i="4"/>
  <c r="G24" i="4"/>
  <c r="H23" i="4"/>
  <c r="D7" i="13"/>
  <c r="C7" i="13"/>
  <c r="E19" i="13"/>
  <c r="D19" i="13"/>
  <c r="C19" i="13"/>
  <c r="K18" i="13"/>
  <c r="J18" i="13"/>
  <c r="I18" i="13"/>
  <c r="H18" i="13"/>
  <c r="G18" i="13"/>
  <c r="F18" i="13"/>
  <c r="E18" i="13"/>
  <c r="D18" i="13"/>
  <c r="C18" i="13"/>
  <c r="E20" i="13"/>
  <c r="D20" i="13"/>
  <c r="C20" i="13"/>
  <c r="I8" i="13"/>
  <c r="C6" i="13"/>
  <c r="N25" i="13"/>
  <c r="B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6" i="13"/>
  <c r="K19" i="13"/>
  <c r="J19" i="13"/>
  <c r="I19" i="13"/>
  <c r="H19" i="13"/>
  <c r="G19" i="13"/>
  <c r="F19" i="13"/>
  <c r="K21" i="13"/>
  <c r="J21" i="13"/>
  <c r="I21" i="13"/>
  <c r="H21" i="13"/>
  <c r="G21" i="13"/>
  <c r="F21" i="13"/>
  <c r="E21" i="13"/>
  <c r="D21" i="13"/>
  <c r="K20" i="13"/>
  <c r="J20" i="13"/>
  <c r="I20" i="13"/>
  <c r="H20" i="13"/>
  <c r="G20" i="13"/>
  <c r="F20" i="13"/>
  <c r="O22" i="13" l="1"/>
  <c r="O21" i="13"/>
  <c r="O20" i="13"/>
  <c r="O11" i="13" l="1"/>
  <c r="O10" i="13"/>
  <c r="O7" i="13" l="1"/>
  <c r="O9" i="13" l="1"/>
  <c r="O8" i="13"/>
  <c r="O28" i="13"/>
  <c r="O27" i="13"/>
  <c r="O26" i="13"/>
  <c r="O18" i="13"/>
  <c r="O14" i="13"/>
  <c r="O13" i="13"/>
  <c r="K23" i="13"/>
  <c r="I23" i="13"/>
  <c r="D23" i="13"/>
  <c r="C23" i="13"/>
  <c r="H23" i="13"/>
  <c r="G23" i="13"/>
  <c r="G17" i="13"/>
  <c r="F17" i="13"/>
  <c r="C17" i="13"/>
  <c r="N17" i="13"/>
  <c r="M17" i="13"/>
  <c r="K17" i="13"/>
  <c r="J17" i="13"/>
  <c r="I17" i="13"/>
  <c r="H17" i="13"/>
  <c r="E17" i="13"/>
  <c r="D17" i="13"/>
  <c r="E15" i="13"/>
  <c r="D15" i="13"/>
  <c r="N15" i="13"/>
  <c r="J15" i="13"/>
  <c r="I15" i="13"/>
  <c r="H15" i="13"/>
  <c r="C16" i="13" l="1"/>
  <c r="O24" i="13"/>
  <c r="O19" i="13"/>
  <c r="D16" i="13"/>
  <c r="D30" i="13" s="1"/>
  <c r="K16" i="13"/>
  <c r="I16" i="13"/>
  <c r="I30" i="13" s="1"/>
  <c r="H16" i="13"/>
  <c r="H30" i="13" s="1"/>
  <c r="G16" i="13"/>
  <c r="J23" i="13"/>
  <c r="J16" i="13" s="1"/>
  <c r="J30" i="13" s="1"/>
  <c r="L17" i="13"/>
  <c r="O17" i="13" s="1"/>
  <c r="C15" i="13"/>
  <c r="E23" i="13"/>
  <c r="E16" i="13" s="1"/>
  <c r="E30" i="13" s="1"/>
  <c r="K15" i="13"/>
  <c r="F23" i="13"/>
  <c r="F16" i="13" s="1"/>
  <c r="F15" i="13"/>
  <c r="L15" i="13"/>
  <c r="G15" i="13"/>
  <c r="M15" i="13"/>
  <c r="F30" i="13" l="1"/>
  <c r="K30" i="13"/>
  <c r="G30" i="13"/>
  <c r="C30" i="13"/>
  <c r="C34" i="13" s="1"/>
  <c r="O15" i="13"/>
  <c r="L23" i="13"/>
  <c r="L16" i="13" s="1"/>
  <c r="L30" i="13" s="1"/>
  <c r="D6" i="13" l="1"/>
  <c r="D34" i="13" s="1"/>
  <c r="C32" i="13"/>
  <c r="D32" i="13" s="1"/>
  <c r="E32" i="13" s="1"/>
  <c r="M23" i="13"/>
  <c r="M16" i="13" s="1"/>
  <c r="M30" i="13" s="1"/>
  <c r="O25" i="13"/>
  <c r="E6" i="13" l="1"/>
  <c r="E34" i="13" s="1"/>
  <c r="F32" i="13"/>
  <c r="G32" i="13" s="1"/>
  <c r="H32" i="13" s="1"/>
  <c r="I32" i="13" s="1"/>
  <c r="J32" i="13" s="1"/>
  <c r="K32" i="13" s="1"/>
  <c r="L32" i="13" s="1"/>
  <c r="M32" i="13" s="1"/>
  <c r="N23" i="13"/>
  <c r="F6" i="13" l="1"/>
  <c r="F34" i="13"/>
  <c r="G6" i="13" s="1"/>
  <c r="N16" i="13"/>
  <c r="N30" i="13" s="1"/>
  <c r="O23" i="13"/>
  <c r="G34" i="13" l="1"/>
  <c r="N32" i="13"/>
  <c r="O16" i="13"/>
  <c r="O32" i="13" s="1"/>
  <c r="D81" i="10"/>
  <c r="C81" i="10"/>
  <c r="B73" i="10"/>
  <c r="B40" i="10"/>
  <c r="B32" i="10"/>
  <c r="B31" i="10"/>
  <c r="H6" i="13" l="1"/>
  <c r="O30" i="13"/>
  <c r="C30" i="12"/>
  <c r="C29" i="12"/>
  <c r="C28" i="12"/>
  <c r="C27" i="12"/>
  <c r="D19" i="12"/>
  <c r="D7" i="12"/>
  <c r="D13" i="12" s="1"/>
  <c r="D26" i="8"/>
  <c r="P26" i="8"/>
  <c r="P26" i="7"/>
  <c r="P26" i="4"/>
  <c r="D77" i="11"/>
  <c r="D76" i="11"/>
  <c r="D75" i="11"/>
  <c r="B65" i="11"/>
  <c r="A65" i="11"/>
  <c r="B55" i="11"/>
  <c r="B44" i="11"/>
  <c r="B43" i="11"/>
  <c r="B45" i="11" s="1"/>
  <c r="B32" i="11"/>
  <c r="A32" i="11"/>
  <c r="B22" i="11"/>
  <c r="B23" i="11" s="1"/>
  <c r="K10" i="11"/>
  <c r="K8" i="11"/>
  <c r="G7" i="11"/>
  <c r="K7" i="11" s="1"/>
  <c r="L7" i="11" s="1"/>
  <c r="K4" i="11"/>
  <c r="G3" i="11"/>
  <c r="K3" i="11" s="1"/>
  <c r="B75" i="10"/>
  <c r="A73" i="10"/>
  <c r="A40" i="10"/>
  <c r="B42" i="10"/>
  <c r="B63" i="10"/>
  <c r="B52" i="10"/>
  <c r="B22" i="10"/>
  <c r="B23" i="10" s="1"/>
  <c r="K10" i="10"/>
  <c r="K8" i="10"/>
  <c r="G7" i="10"/>
  <c r="K7" i="10" s="1"/>
  <c r="L7" i="10" s="1"/>
  <c r="K4" i="10"/>
  <c r="G3" i="10"/>
  <c r="K3" i="10" s="1"/>
  <c r="E38" i="8"/>
  <c r="F38" i="8" s="1"/>
  <c r="G38" i="8" s="1"/>
  <c r="H38" i="8" s="1"/>
  <c r="I38" i="8" s="1"/>
  <c r="J38" i="8" s="1"/>
  <c r="K38" i="8" s="1"/>
  <c r="L38" i="8" s="1"/>
  <c r="M38" i="8" s="1"/>
  <c r="N38" i="8" s="1"/>
  <c r="O38" i="8" s="1"/>
  <c r="E44" i="8"/>
  <c r="F44" i="8" s="1"/>
  <c r="G44" i="8" s="1"/>
  <c r="H44" i="8" s="1"/>
  <c r="I44" i="8" s="1"/>
  <c r="J44" i="8" s="1"/>
  <c r="K44" i="8" s="1"/>
  <c r="L44" i="8" s="1"/>
  <c r="M44" i="8" s="1"/>
  <c r="N44" i="8" s="1"/>
  <c r="O44" i="8" s="1"/>
  <c r="E43" i="8"/>
  <c r="E42" i="8"/>
  <c r="F42" i="8" s="1"/>
  <c r="G42" i="8" s="1"/>
  <c r="H42" i="8" s="1"/>
  <c r="I42" i="8" s="1"/>
  <c r="J42" i="8" s="1"/>
  <c r="K42" i="8" s="1"/>
  <c r="L42" i="8" s="1"/>
  <c r="M42" i="8" s="1"/>
  <c r="N42" i="8" s="1"/>
  <c r="O42" i="8" s="1"/>
  <c r="E41" i="8"/>
  <c r="F41" i="8" s="1"/>
  <c r="E40" i="8"/>
  <c r="F40" i="8" s="1"/>
  <c r="G40" i="8" s="1"/>
  <c r="E39" i="8"/>
  <c r="F39" i="8" s="1"/>
  <c r="E37" i="8"/>
  <c r="E36" i="8"/>
  <c r="F36" i="8" s="1"/>
  <c r="G36" i="8" s="1"/>
  <c r="H36" i="8" s="1"/>
  <c r="I36" i="8" s="1"/>
  <c r="J36" i="8" s="1"/>
  <c r="K36" i="8" s="1"/>
  <c r="L36" i="8" s="1"/>
  <c r="M36" i="8" s="1"/>
  <c r="N36" i="8" s="1"/>
  <c r="O36" i="8" s="1"/>
  <c r="E35" i="8"/>
  <c r="F35" i="8" s="1"/>
  <c r="G35" i="8" s="1"/>
  <c r="H35" i="8" s="1"/>
  <c r="I35" i="8" s="1"/>
  <c r="J35" i="8" s="1"/>
  <c r="K35" i="8" s="1"/>
  <c r="L35" i="8" s="1"/>
  <c r="M35" i="8" s="1"/>
  <c r="N35" i="8" s="1"/>
  <c r="O35" i="8" s="1"/>
  <c r="E34" i="8"/>
  <c r="E33" i="8"/>
  <c r="F33" i="8" s="1"/>
  <c r="G33" i="8" s="1"/>
  <c r="H33" i="8" s="1"/>
  <c r="I33" i="8" s="1"/>
  <c r="J33" i="8" s="1"/>
  <c r="K33" i="8" s="1"/>
  <c r="L33" i="8" s="1"/>
  <c r="M33" i="8" s="1"/>
  <c r="N33" i="8" s="1"/>
  <c r="O33" i="8" s="1"/>
  <c r="E32" i="8"/>
  <c r="F32" i="8" s="1"/>
  <c r="G32" i="8" s="1"/>
  <c r="H32" i="8" s="1"/>
  <c r="I32" i="8" s="1"/>
  <c r="J32" i="8" s="1"/>
  <c r="K32" i="8" s="1"/>
  <c r="L32" i="8" s="1"/>
  <c r="M32" i="8" s="1"/>
  <c r="N32" i="8" s="1"/>
  <c r="O32" i="8" s="1"/>
  <c r="E31" i="8"/>
  <c r="F31" i="8" s="1"/>
  <c r="E30" i="8"/>
  <c r="F30" i="8" s="1"/>
  <c r="G30" i="8" s="1"/>
  <c r="H30" i="8" s="1"/>
  <c r="I30" i="8" s="1"/>
  <c r="J30" i="8" s="1"/>
  <c r="K30" i="8" s="1"/>
  <c r="L30" i="8" s="1"/>
  <c r="M30" i="8" s="1"/>
  <c r="N30" i="8" s="1"/>
  <c r="O30" i="8" s="1"/>
  <c r="E29" i="8"/>
  <c r="F29" i="8" s="1"/>
  <c r="G29" i="8" s="1"/>
  <c r="H29" i="8" s="1"/>
  <c r="I29" i="8" s="1"/>
  <c r="J29" i="8" s="1"/>
  <c r="K29" i="8" s="1"/>
  <c r="L29" i="8" s="1"/>
  <c r="M29" i="8" s="1"/>
  <c r="N29" i="8" s="1"/>
  <c r="O29" i="8" s="1"/>
  <c r="E28" i="8"/>
  <c r="E22" i="8"/>
  <c r="F22" i="8" s="1"/>
  <c r="G22" i="8" s="1"/>
  <c r="H22" i="8" s="1"/>
  <c r="I22" i="8" s="1"/>
  <c r="J22" i="8" s="1"/>
  <c r="K22" i="8" s="1"/>
  <c r="L22" i="8" s="1"/>
  <c r="M22" i="8" s="1"/>
  <c r="N22" i="8" s="1"/>
  <c r="O22" i="8" s="1"/>
  <c r="E21" i="8"/>
  <c r="F21" i="8" s="1"/>
  <c r="B10" i="8"/>
  <c r="L10" i="8" s="1"/>
  <c r="L15" i="8" s="1"/>
  <c r="B9" i="8"/>
  <c r="K9" i="8" s="1"/>
  <c r="K14" i="8" s="1"/>
  <c r="B8" i="8"/>
  <c r="K8" i="8" s="1"/>
  <c r="K13" i="8" s="1"/>
  <c r="P7" i="8"/>
  <c r="P45" i="7"/>
  <c r="P44" i="7"/>
  <c r="P43" i="7"/>
  <c r="P42" i="7"/>
  <c r="O41" i="7"/>
  <c r="N41" i="7"/>
  <c r="M41" i="7"/>
  <c r="L41" i="7"/>
  <c r="K41" i="7"/>
  <c r="J41" i="7"/>
  <c r="I41" i="7"/>
  <c r="H41" i="7"/>
  <c r="G41" i="7"/>
  <c r="F41" i="7"/>
  <c r="E41" i="7"/>
  <c r="D41" i="7"/>
  <c r="P40" i="7"/>
  <c r="P39" i="7"/>
  <c r="P38" i="7"/>
  <c r="O37" i="7"/>
  <c r="N37" i="7"/>
  <c r="M37" i="7"/>
  <c r="L37" i="7"/>
  <c r="K37" i="7"/>
  <c r="J37" i="7"/>
  <c r="I37" i="7"/>
  <c r="H37" i="7"/>
  <c r="G37" i="7"/>
  <c r="F37" i="7"/>
  <c r="E37" i="7"/>
  <c r="D37" i="7"/>
  <c r="O36" i="7"/>
  <c r="N36" i="7"/>
  <c r="M36" i="7"/>
  <c r="L36" i="7"/>
  <c r="K36" i="7"/>
  <c r="J36" i="7"/>
  <c r="I36" i="7"/>
  <c r="H36" i="7"/>
  <c r="G36" i="7"/>
  <c r="F36" i="7"/>
  <c r="E36" i="7"/>
  <c r="D36" i="7"/>
  <c r="P35" i="7"/>
  <c r="E34" i="7"/>
  <c r="F34" i="7" s="1"/>
  <c r="G34" i="7" s="1"/>
  <c r="H34" i="7" s="1"/>
  <c r="I34" i="7" s="1"/>
  <c r="J34" i="7" s="1"/>
  <c r="K34" i="7" s="1"/>
  <c r="L34" i="7" s="1"/>
  <c r="M34" i="7" s="1"/>
  <c r="N34" i="7" s="1"/>
  <c r="O34" i="7" s="1"/>
  <c r="O33" i="7"/>
  <c r="N33" i="7"/>
  <c r="M33" i="7"/>
  <c r="L33" i="7"/>
  <c r="K33" i="7"/>
  <c r="J33" i="7"/>
  <c r="I33" i="7"/>
  <c r="H33" i="7"/>
  <c r="G33" i="7"/>
  <c r="F33" i="7"/>
  <c r="E33" i="7"/>
  <c r="D33" i="7"/>
  <c r="P32" i="7"/>
  <c r="P31" i="7"/>
  <c r="E30" i="7"/>
  <c r="E29" i="7"/>
  <c r="E28" i="7"/>
  <c r="P23" i="7"/>
  <c r="C22" i="3" s="1"/>
  <c r="E22" i="7"/>
  <c r="F22" i="7" s="1"/>
  <c r="G22" i="7" s="1"/>
  <c r="H22" i="7" s="1"/>
  <c r="E21" i="7"/>
  <c r="B10" i="7"/>
  <c r="N10" i="7" s="1"/>
  <c r="N15" i="7" s="1"/>
  <c r="B9" i="7"/>
  <c r="K9" i="7" s="1"/>
  <c r="K14" i="7" s="1"/>
  <c r="B8" i="7"/>
  <c r="P7" i="7"/>
  <c r="P7" i="4"/>
  <c r="B51" i="10" l="1"/>
  <c r="B53" i="10" s="1"/>
  <c r="B83" i="10" s="1"/>
  <c r="H13" i="12"/>
  <c r="H19" i="12"/>
  <c r="K12" i="11"/>
  <c r="L9" i="7"/>
  <c r="L14" i="7" s="1"/>
  <c r="P36" i="7"/>
  <c r="N9" i="7"/>
  <c r="N14" i="7" s="1"/>
  <c r="B75" i="11"/>
  <c r="B76" i="11" s="1"/>
  <c r="K13" i="11"/>
  <c r="L12" i="11"/>
  <c r="K12" i="10"/>
  <c r="K13" i="10" s="1"/>
  <c r="H9" i="8"/>
  <c r="H14" i="8" s="1"/>
  <c r="I9" i="8"/>
  <c r="I14" i="8" s="1"/>
  <c r="M9" i="8"/>
  <c r="M14" i="8" s="1"/>
  <c r="N9" i="8"/>
  <c r="N14" i="8" s="1"/>
  <c r="D9" i="8"/>
  <c r="D14" i="8" s="1"/>
  <c r="O9" i="8"/>
  <c r="O14" i="8" s="1"/>
  <c r="E9" i="8"/>
  <c r="E14" i="8" s="1"/>
  <c r="F9" i="8"/>
  <c r="F14" i="8" s="1"/>
  <c r="G9" i="8"/>
  <c r="G14" i="8" s="1"/>
  <c r="H40" i="8"/>
  <c r="I40" i="8" s="1"/>
  <c r="J40" i="8" s="1"/>
  <c r="K40" i="8" s="1"/>
  <c r="L40" i="8" s="1"/>
  <c r="M40" i="8" s="1"/>
  <c r="N40" i="8" s="1"/>
  <c r="O40" i="8" s="1"/>
  <c r="G41" i="8"/>
  <c r="H41" i="8" s="1"/>
  <c r="I41" i="8" s="1"/>
  <c r="J41" i="8" s="1"/>
  <c r="K41" i="8" s="1"/>
  <c r="L41" i="8" s="1"/>
  <c r="M41" i="8" s="1"/>
  <c r="N41" i="8" s="1"/>
  <c r="O41" i="8" s="1"/>
  <c r="G39" i="8"/>
  <c r="H39" i="8" s="1"/>
  <c r="I39" i="8" s="1"/>
  <c r="J39" i="8" s="1"/>
  <c r="K39" i="8" s="1"/>
  <c r="L39" i="8" s="1"/>
  <c r="M39" i="8" s="1"/>
  <c r="N39" i="8" s="1"/>
  <c r="O39" i="8" s="1"/>
  <c r="F37" i="8"/>
  <c r="G37" i="8" s="1"/>
  <c r="H37" i="8" s="1"/>
  <c r="I37" i="8" s="1"/>
  <c r="J37" i="8" s="1"/>
  <c r="K37" i="8" s="1"/>
  <c r="L37" i="8" s="1"/>
  <c r="M37" i="8" s="1"/>
  <c r="N37" i="8" s="1"/>
  <c r="O37" i="8" s="1"/>
  <c r="F34" i="8"/>
  <c r="G34" i="8" s="1"/>
  <c r="H34" i="8" s="1"/>
  <c r="I34" i="8" s="1"/>
  <c r="J34" i="8" s="1"/>
  <c r="K34" i="8" s="1"/>
  <c r="L34" i="8" s="1"/>
  <c r="M34" i="8" s="1"/>
  <c r="N34" i="8" s="1"/>
  <c r="O34" i="8" s="1"/>
  <c r="F43" i="8"/>
  <c r="G43" i="8" s="1"/>
  <c r="H43" i="8" s="1"/>
  <c r="I43" i="8" s="1"/>
  <c r="J43" i="8" s="1"/>
  <c r="K43" i="8" s="1"/>
  <c r="L43" i="8" s="1"/>
  <c r="M43" i="8" s="1"/>
  <c r="N43" i="8" s="1"/>
  <c r="O43" i="8" s="1"/>
  <c r="G31" i="8"/>
  <c r="H31" i="8" s="1"/>
  <c r="I31" i="8" s="1"/>
  <c r="J31" i="8" s="1"/>
  <c r="K31" i="8" s="1"/>
  <c r="L31" i="8" s="1"/>
  <c r="M31" i="8" s="1"/>
  <c r="N31" i="8" s="1"/>
  <c r="O31" i="8" s="1"/>
  <c r="P38" i="8"/>
  <c r="P36" i="8"/>
  <c r="P42" i="8"/>
  <c r="P23" i="8"/>
  <c r="Q23" i="8" s="1"/>
  <c r="F8" i="8"/>
  <c r="F13" i="8" s="1"/>
  <c r="I8" i="8"/>
  <c r="I13" i="8" s="1"/>
  <c r="J8" i="8"/>
  <c r="J13" i="8" s="1"/>
  <c r="I10" i="8"/>
  <c r="I15" i="8" s="1"/>
  <c r="J10" i="8"/>
  <c r="J15" i="8" s="1"/>
  <c r="L8" i="8"/>
  <c r="L13" i="8" s="1"/>
  <c r="J9" i="8"/>
  <c r="J14" i="8" s="1"/>
  <c r="K10" i="8"/>
  <c r="K15" i="8" s="1"/>
  <c r="K16" i="8" s="1"/>
  <c r="K18" i="8" s="1"/>
  <c r="E8" i="8"/>
  <c r="E13" i="8" s="1"/>
  <c r="L9" i="8"/>
  <c r="L14" i="8" s="1"/>
  <c r="P33" i="8"/>
  <c r="G21" i="8"/>
  <c r="P35" i="8"/>
  <c r="F28" i="8"/>
  <c r="G28" i="8" s="1"/>
  <c r="H28" i="8" s="1"/>
  <c r="I28" i="8" s="1"/>
  <c r="J28" i="8" s="1"/>
  <c r="K28" i="8" s="1"/>
  <c r="L28" i="8" s="1"/>
  <c r="M28" i="8" s="1"/>
  <c r="N28" i="8" s="1"/>
  <c r="O28" i="8" s="1"/>
  <c r="P22" i="8"/>
  <c r="N10" i="8"/>
  <c r="N15" i="8" s="1"/>
  <c r="F10" i="8"/>
  <c r="F15" i="8" s="1"/>
  <c r="M10" i="8"/>
  <c r="M15" i="8" s="1"/>
  <c r="E10" i="8"/>
  <c r="E15" i="8" s="1"/>
  <c r="O10" i="8"/>
  <c r="O15" i="8" s="1"/>
  <c r="D10" i="8"/>
  <c r="D15" i="8" s="1"/>
  <c r="H8" i="8"/>
  <c r="O8" i="8"/>
  <c r="G8" i="8"/>
  <c r="M8" i="8"/>
  <c r="G10" i="8"/>
  <c r="G15" i="8" s="1"/>
  <c r="P29" i="8"/>
  <c r="D8" i="8"/>
  <c r="N8" i="8"/>
  <c r="H10" i="8"/>
  <c r="H15" i="8" s="1"/>
  <c r="P32" i="8"/>
  <c r="H10" i="7"/>
  <c r="H15" i="7" s="1"/>
  <c r="I10" i="7"/>
  <c r="I15" i="7" s="1"/>
  <c r="J10" i="7"/>
  <c r="J15" i="7" s="1"/>
  <c r="H9" i="7"/>
  <c r="H14" i="7" s="1"/>
  <c r="O10" i="7"/>
  <c r="O15" i="7" s="1"/>
  <c r="I9" i="7"/>
  <c r="I14" i="7" s="1"/>
  <c r="M9" i="7"/>
  <c r="M14" i="7" s="1"/>
  <c r="D9" i="7"/>
  <c r="D14" i="7" s="1"/>
  <c r="E9" i="7"/>
  <c r="E14" i="7" s="1"/>
  <c r="O9" i="7"/>
  <c r="O14" i="7" s="1"/>
  <c r="F9" i="7"/>
  <c r="F14" i="7" s="1"/>
  <c r="G9" i="7"/>
  <c r="G14" i="7" s="1"/>
  <c r="G10" i="7"/>
  <c r="G15" i="7" s="1"/>
  <c r="I22" i="7"/>
  <c r="J22" i="7" s="1"/>
  <c r="K22" i="7" s="1"/>
  <c r="L22" i="7" s="1"/>
  <c r="M22" i="7" s="1"/>
  <c r="N22" i="7" s="1"/>
  <c r="O22" i="7" s="1"/>
  <c r="H8" i="7"/>
  <c r="N8" i="7"/>
  <c r="F8" i="7"/>
  <c r="D8" i="7"/>
  <c r="O8" i="7"/>
  <c r="G8" i="7"/>
  <c r="M8" i="7"/>
  <c r="E8" i="7"/>
  <c r="L8" i="7"/>
  <c r="I8" i="7"/>
  <c r="J8" i="7"/>
  <c r="K8" i="7"/>
  <c r="P34" i="7"/>
  <c r="F21" i="7"/>
  <c r="F29" i="7"/>
  <c r="G29" i="7" s="1"/>
  <c r="H29" i="7" s="1"/>
  <c r="I29" i="7" s="1"/>
  <c r="J29" i="7" s="1"/>
  <c r="K29" i="7" s="1"/>
  <c r="L29" i="7" s="1"/>
  <c r="M29" i="7" s="1"/>
  <c r="N29" i="7" s="1"/>
  <c r="O29" i="7" s="1"/>
  <c r="P37" i="7"/>
  <c r="P41" i="7"/>
  <c r="L10" i="7"/>
  <c r="L15" i="7" s="1"/>
  <c r="F30" i="7"/>
  <c r="G30" i="7" s="1"/>
  <c r="H30" i="7" s="1"/>
  <c r="I30" i="7" s="1"/>
  <c r="J30" i="7" s="1"/>
  <c r="K30" i="7" s="1"/>
  <c r="L30" i="7" s="1"/>
  <c r="M30" i="7" s="1"/>
  <c r="N30" i="7" s="1"/>
  <c r="O30" i="7" s="1"/>
  <c r="J9" i="7"/>
  <c r="J14" i="7" s="1"/>
  <c r="E10" i="7"/>
  <c r="E15" i="7" s="1"/>
  <c r="M10" i="7"/>
  <c r="M15" i="7" s="1"/>
  <c r="P33" i="7"/>
  <c r="K10" i="7"/>
  <c r="K15" i="7" s="1"/>
  <c r="D10" i="7"/>
  <c r="D15" i="7" s="1"/>
  <c r="F28" i="7"/>
  <c r="G28" i="7" s="1"/>
  <c r="H28" i="7" s="1"/>
  <c r="I28" i="7" s="1"/>
  <c r="J28" i="7" s="1"/>
  <c r="K28" i="7" s="1"/>
  <c r="L28" i="7" s="1"/>
  <c r="M28" i="7" s="1"/>
  <c r="N28" i="7" s="1"/>
  <c r="O28" i="7" s="1"/>
  <c r="F10" i="7"/>
  <c r="F15" i="7" s="1"/>
  <c r="B3" i="3"/>
  <c r="B10" i="4"/>
  <c r="L10" i="4" s="1"/>
  <c r="L15" i="4" s="1"/>
  <c r="B9" i="4"/>
  <c r="M9" i="4" s="1"/>
  <c r="M14" i="4" s="1"/>
  <c r="B8" i="4"/>
  <c r="I8" i="4" s="1"/>
  <c r="I13" i="4" s="1"/>
  <c r="P39" i="4"/>
  <c r="B2" i="3"/>
  <c r="H34" i="13" l="1"/>
  <c r="B84" i="10"/>
  <c r="D84" i="10" s="1"/>
  <c r="I16" i="8"/>
  <c r="I18" i="8" s="1"/>
  <c r="I51" i="8" s="1"/>
  <c r="P30" i="7"/>
  <c r="C75" i="11"/>
  <c r="E75" i="11"/>
  <c r="L13" i="11"/>
  <c r="K14" i="11"/>
  <c r="L14" i="11" s="1"/>
  <c r="B77" i="11"/>
  <c r="C77" i="11" s="1"/>
  <c r="C76" i="11"/>
  <c r="E15" i="4"/>
  <c r="L12" i="10"/>
  <c r="K14" i="10"/>
  <c r="L14" i="10" s="1"/>
  <c r="L13" i="10"/>
  <c r="L16" i="8"/>
  <c r="L18" i="8" s="1"/>
  <c r="L51" i="8" s="1"/>
  <c r="J11" i="8"/>
  <c r="J16" i="8"/>
  <c r="J18" i="8" s="1"/>
  <c r="J51" i="8" s="1"/>
  <c r="L11" i="8"/>
  <c r="P34" i="8"/>
  <c r="P41" i="8"/>
  <c r="P37" i="8"/>
  <c r="P39" i="8"/>
  <c r="P40" i="8"/>
  <c r="P43" i="8"/>
  <c r="P31" i="8"/>
  <c r="K11" i="8"/>
  <c r="I11" i="8"/>
  <c r="E11" i="8"/>
  <c r="E16" i="8"/>
  <c r="E18" i="8" s="1"/>
  <c r="E51" i="8" s="1"/>
  <c r="F11" i="8"/>
  <c r="D13" i="8"/>
  <c r="D16" i="8" s="1"/>
  <c r="D11" i="8"/>
  <c r="M13" i="8"/>
  <c r="M16" i="8" s="1"/>
  <c r="M18" i="8" s="1"/>
  <c r="M11" i="8"/>
  <c r="P28" i="8"/>
  <c r="G13" i="8"/>
  <c r="G16" i="8" s="1"/>
  <c r="G18" i="8" s="1"/>
  <c r="G11" i="8"/>
  <c r="K51" i="8"/>
  <c r="P30" i="8"/>
  <c r="O13" i="8"/>
  <c r="O16" i="8" s="1"/>
  <c r="O11" i="8"/>
  <c r="H13" i="8"/>
  <c r="H16" i="8" s="1"/>
  <c r="H18" i="8" s="1"/>
  <c r="H11" i="8"/>
  <c r="F16" i="8"/>
  <c r="F18" i="8" s="1"/>
  <c r="N13" i="8"/>
  <c r="N16" i="8" s="1"/>
  <c r="N18" i="8" s="1"/>
  <c r="N11" i="8"/>
  <c r="P44" i="8"/>
  <c r="H21" i="8"/>
  <c r="G11" i="7"/>
  <c r="G17" i="7" s="1"/>
  <c r="G13" i="7"/>
  <c r="G16" i="7" s="1"/>
  <c r="G18" i="7" s="1"/>
  <c r="J11" i="7"/>
  <c r="J17" i="7" s="1"/>
  <c r="J13" i="7"/>
  <c r="J16" i="7" s="1"/>
  <c r="J18" i="7" s="1"/>
  <c r="O11" i="7"/>
  <c r="O17" i="7" s="1"/>
  <c r="O13" i="7"/>
  <c r="O16" i="7" s="1"/>
  <c r="G21" i="7"/>
  <c r="I11" i="7"/>
  <c r="I17" i="7" s="1"/>
  <c r="I13" i="7"/>
  <c r="I16" i="7" s="1"/>
  <c r="I18" i="7" s="1"/>
  <c r="D13" i="7"/>
  <c r="D16" i="7" s="1"/>
  <c r="D11" i="7"/>
  <c r="P29" i="7"/>
  <c r="F11" i="7"/>
  <c r="F17" i="7" s="1"/>
  <c r="F13" i="7"/>
  <c r="F16" i="7" s="1"/>
  <c r="F18" i="7" s="1"/>
  <c r="N11" i="7"/>
  <c r="N17" i="7" s="1"/>
  <c r="N13" i="7"/>
  <c r="N16" i="7" s="1"/>
  <c r="N18" i="7" s="1"/>
  <c r="L13" i="7"/>
  <c r="L16" i="7" s="1"/>
  <c r="L18" i="7" s="1"/>
  <c r="L11" i="7"/>
  <c r="L17" i="7" s="1"/>
  <c r="H11" i="7"/>
  <c r="H17" i="7" s="1"/>
  <c r="H13" i="7"/>
  <c r="H16" i="7" s="1"/>
  <c r="H18" i="7" s="1"/>
  <c r="P28" i="7"/>
  <c r="E13" i="7"/>
  <c r="E16" i="7" s="1"/>
  <c r="E18" i="7" s="1"/>
  <c r="E11" i="7"/>
  <c r="E17" i="7" s="1"/>
  <c r="K13" i="7"/>
  <c r="K16" i="7" s="1"/>
  <c r="K18" i="7" s="1"/>
  <c r="K11" i="7"/>
  <c r="K17" i="7" s="1"/>
  <c r="M13" i="7"/>
  <c r="M16" i="7" s="1"/>
  <c r="M18" i="7" s="1"/>
  <c r="M11" i="7"/>
  <c r="M17" i="7" s="1"/>
  <c r="P22" i="7"/>
  <c r="D8" i="4"/>
  <c r="D13" i="4" s="1"/>
  <c r="H8" i="4"/>
  <c r="H13" i="4" s="1"/>
  <c r="M8" i="4"/>
  <c r="M13" i="4" s="1"/>
  <c r="J9" i="4"/>
  <c r="J14" i="4" s="1"/>
  <c r="L9" i="4"/>
  <c r="L14" i="4" s="1"/>
  <c r="N8" i="4"/>
  <c r="N13" i="4" s="1"/>
  <c r="N9" i="4"/>
  <c r="N14" i="4" s="1"/>
  <c r="O9" i="4"/>
  <c r="O14" i="4" s="1"/>
  <c r="F13" i="4"/>
  <c r="F14" i="4"/>
  <c r="M10" i="4"/>
  <c r="M15" i="4" s="1"/>
  <c r="O8" i="4"/>
  <c r="O13" i="4" s="1"/>
  <c r="E13" i="4"/>
  <c r="D9" i="4"/>
  <c r="D14" i="4" s="1"/>
  <c r="F15" i="4"/>
  <c r="G8" i="4"/>
  <c r="G13" i="4" s="1"/>
  <c r="G9" i="4"/>
  <c r="G14" i="4" s="1"/>
  <c r="J8" i="4"/>
  <c r="J13" i="4" s="1"/>
  <c r="K8" i="4"/>
  <c r="K13" i="4" s="1"/>
  <c r="H9" i="4"/>
  <c r="H14" i="4" s="1"/>
  <c r="L8" i="4"/>
  <c r="L13" i="4" s="1"/>
  <c r="I9" i="4"/>
  <c r="I14" i="4" s="1"/>
  <c r="N10" i="4"/>
  <c r="N15" i="4" s="1"/>
  <c r="K9" i="4"/>
  <c r="K14" i="4" s="1"/>
  <c r="E14" i="4"/>
  <c r="G10" i="4"/>
  <c r="G15" i="4" s="1"/>
  <c r="O10" i="4"/>
  <c r="O15" i="4" s="1"/>
  <c r="H10" i="4"/>
  <c r="H15" i="4" s="1"/>
  <c r="I10" i="4"/>
  <c r="I15" i="4" s="1"/>
  <c r="J10" i="4"/>
  <c r="J15" i="4" s="1"/>
  <c r="K10" i="4"/>
  <c r="K15" i="4" s="1"/>
  <c r="D10" i="4"/>
  <c r="D15" i="4" s="1"/>
  <c r="I6" i="13" l="1"/>
  <c r="C83" i="10"/>
  <c r="I24" i="7" s="1"/>
  <c r="D83" i="10"/>
  <c r="O24" i="8" s="1"/>
  <c r="B85" i="10"/>
  <c r="C84" i="10"/>
  <c r="E84" i="10" s="1"/>
  <c r="E17" i="8"/>
  <c r="E25" i="8"/>
  <c r="K17" i="8"/>
  <c r="K25" i="8"/>
  <c r="O17" i="8"/>
  <c r="O18" i="8" s="1"/>
  <c r="O25" i="8"/>
  <c r="F17" i="8"/>
  <c r="F25" i="8"/>
  <c r="H17" i="8"/>
  <c r="H25" i="8"/>
  <c r="I17" i="8"/>
  <c r="I25" i="8"/>
  <c r="M17" i="8"/>
  <c r="M25" i="8"/>
  <c r="L17" i="8"/>
  <c r="L25" i="8"/>
  <c r="D25" i="8"/>
  <c r="J17" i="8"/>
  <c r="J25" i="8"/>
  <c r="N17" i="8"/>
  <c r="N25" i="8"/>
  <c r="G17" i="8"/>
  <c r="G25" i="8"/>
  <c r="O18" i="7"/>
  <c r="N25" i="7"/>
  <c r="F25" i="7"/>
  <c r="D25" i="7"/>
  <c r="M25" i="7"/>
  <c r="E25" i="7"/>
  <c r="K25" i="7"/>
  <c r="J25" i="7"/>
  <c r="L25" i="7"/>
  <c r="G25" i="7"/>
  <c r="I25" i="7"/>
  <c r="H25" i="7"/>
  <c r="O25" i="7"/>
  <c r="E76" i="11"/>
  <c r="E77" i="11"/>
  <c r="H51" i="8"/>
  <c r="G51" i="8"/>
  <c r="M51" i="8"/>
  <c r="N51" i="8"/>
  <c r="I21" i="8"/>
  <c r="F51" i="8"/>
  <c r="D17" i="8"/>
  <c r="D18" i="8" s="1"/>
  <c r="P11" i="8"/>
  <c r="P17" i="8" s="1"/>
  <c r="P16" i="8"/>
  <c r="E51" i="7"/>
  <c r="H21" i="7"/>
  <c r="M51" i="7"/>
  <c r="G51" i="7"/>
  <c r="F51" i="7"/>
  <c r="H51" i="7"/>
  <c r="O51" i="7"/>
  <c r="D17" i="7"/>
  <c r="D18" i="7" s="1"/>
  <c r="P11" i="7"/>
  <c r="P17" i="7" s="1"/>
  <c r="J51" i="7"/>
  <c r="L51" i="7"/>
  <c r="P16" i="7"/>
  <c r="K51" i="7"/>
  <c r="N51" i="7"/>
  <c r="I51" i="7"/>
  <c r="G24" i="8" l="1"/>
  <c r="G46" i="8" s="1"/>
  <c r="G48" i="8" s="1"/>
  <c r="I24" i="8"/>
  <c r="I46" i="8" s="1"/>
  <c r="I48" i="8" s="1"/>
  <c r="J24" i="7"/>
  <c r="L24" i="8"/>
  <c r="H24" i="8"/>
  <c r="H46" i="8" s="1"/>
  <c r="H48" i="8" s="1"/>
  <c r="F24" i="8"/>
  <c r="F46" i="8" s="1"/>
  <c r="F48" i="8" s="1"/>
  <c r="F24" i="7"/>
  <c r="F46" i="7" s="1"/>
  <c r="F48" i="7" s="1"/>
  <c r="N24" i="8"/>
  <c r="K24" i="8"/>
  <c r="J24" i="8"/>
  <c r="M24" i="8"/>
  <c r="E24" i="8"/>
  <c r="E46" i="8" s="1"/>
  <c r="E48" i="8" s="1"/>
  <c r="D24" i="8"/>
  <c r="D46" i="8" s="1"/>
  <c r="D48" i="8" s="1"/>
  <c r="K24" i="7"/>
  <c r="G24" i="7"/>
  <c r="G46" i="7" s="1"/>
  <c r="G48" i="7" s="1"/>
  <c r="D24" i="7"/>
  <c r="D46" i="7" s="1"/>
  <c r="D48" i="7" s="1"/>
  <c r="O24" i="7"/>
  <c r="H24" i="7"/>
  <c r="H46" i="7" s="1"/>
  <c r="H48" i="7" s="1"/>
  <c r="L24" i="7"/>
  <c r="E83" i="10"/>
  <c r="E24" i="7"/>
  <c r="E46" i="7" s="1"/>
  <c r="E48" i="7" s="1"/>
  <c r="N24" i="7"/>
  <c r="M24" i="7"/>
  <c r="F83" i="10"/>
  <c r="F84" i="10"/>
  <c r="C85" i="10"/>
  <c r="D85" i="10"/>
  <c r="P25" i="7"/>
  <c r="H84" i="10" s="1"/>
  <c r="P25" i="8"/>
  <c r="I84" i="10" s="1"/>
  <c r="P18" i="8"/>
  <c r="O51" i="8"/>
  <c r="J21" i="8"/>
  <c r="P18" i="7"/>
  <c r="C20" i="3" s="1"/>
  <c r="I21" i="7"/>
  <c r="D2" i="3"/>
  <c r="K7" i="6"/>
  <c r="K12" i="6" s="1"/>
  <c r="L7" i="6"/>
  <c r="L12" i="6" s="1"/>
  <c r="M7" i="6"/>
  <c r="M10" i="6" s="1"/>
  <c r="K8" i="6"/>
  <c r="K13" i="6" s="1"/>
  <c r="L8" i="6"/>
  <c r="M8" i="6"/>
  <c r="K9" i="6"/>
  <c r="K14" i="6" s="1"/>
  <c r="L9" i="6"/>
  <c r="M9" i="6"/>
  <c r="J9" i="6"/>
  <c r="J14" i="6" s="1"/>
  <c r="J8" i="6"/>
  <c r="J7" i="6"/>
  <c r="J12" i="6" s="1"/>
  <c r="H7" i="6"/>
  <c r="H12" i="6" s="1"/>
  <c r="I7" i="6"/>
  <c r="I12" i="6" s="1"/>
  <c r="H8" i="6"/>
  <c r="H13" i="6" s="1"/>
  <c r="I8" i="6"/>
  <c r="H9" i="6"/>
  <c r="H14" i="6" s="1"/>
  <c r="I9" i="6"/>
  <c r="I14" i="6" s="1"/>
  <c r="G9" i="6"/>
  <c r="G14" i="6" s="1"/>
  <c r="G8" i="6"/>
  <c r="G13" i="6" s="1"/>
  <c r="G7" i="6"/>
  <c r="E7" i="6"/>
  <c r="F7" i="6"/>
  <c r="F12" i="6" s="1"/>
  <c r="E8" i="6"/>
  <c r="F8" i="6"/>
  <c r="F13" i="6" s="1"/>
  <c r="E9" i="6"/>
  <c r="E14" i="6" s="1"/>
  <c r="F9" i="6"/>
  <c r="F14" i="6" s="1"/>
  <c r="D9" i="6"/>
  <c r="D8" i="6"/>
  <c r="D13" i="6" s="1"/>
  <c r="D7" i="6"/>
  <c r="D12" i="6" s="1"/>
  <c r="G12" i="6"/>
  <c r="C10" i="6"/>
  <c r="D10" i="6"/>
  <c r="H10" i="6"/>
  <c r="N10" i="6"/>
  <c r="C12" i="6"/>
  <c r="E12" i="6"/>
  <c r="N12" i="6"/>
  <c r="C13" i="6"/>
  <c r="J13" i="6"/>
  <c r="L13" i="6"/>
  <c r="N13" i="6"/>
  <c r="C14" i="6"/>
  <c r="D14" i="6"/>
  <c r="L14" i="6"/>
  <c r="M14" i="6"/>
  <c r="N14" i="6"/>
  <c r="I34" i="13" l="1"/>
  <c r="P24" i="8"/>
  <c r="I83" i="10" s="1"/>
  <c r="P24" i="7"/>
  <c r="H83" i="10" s="1"/>
  <c r="E85" i="10"/>
  <c r="F85" i="10"/>
  <c r="K21" i="8"/>
  <c r="J46" i="8"/>
  <c r="J48" i="8" s="1"/>
  <c r="D53" i="8"/>
  <c r="E53" i="8" s="1"/>
  <c r="F53" i="8" s="1"/>
  <c r="G53" i="8" s="1"/>
  <c r="H53" i="8" s="1"/>
  <c r="I53" i="8" s="1"/>
  <c r="I55" i="8" s="1"/>
  <c r="I46" i="7"/>
  <c r="I48" i="7" s="1"/>
  <c r="J21" i="7"/>
  <c r="D53" i="7"/>
  <c r="E53" i="7" s="1"/>
  <c r="F53" i="7" s="1"/>
  <c r="G53" i="7" s="1"/>
  <c r="H53" i="7" s="1"/>
  <c r="F11" i="4"/>
  <c r="M12" i="6"/>
  <c r="G11" i="4"/>
  <c r="E11" i="4"/>
  <c r="K10" i="6"/>
  <c r="K16" i="6" s="1"/>
  <c r="K17" i="6" s="1"/>
  <c r="L10" i="6"/>
  <c r="J10" i="6"/>
  <c r="J16" i="6" s="1"/>
  <c r="J17" i="6" s="1"/>
  <c r="I10" i="6"/>
  <c r="I16" i="6" s="1"/>
  <c r="I17" i="6" s="1"/>
  <c r="G10" i="6"/>
  <c r="G16" i="6" s="1"/>
  <c r="G17" i="6" s="1"/>
  <c r="F10" i="6"/>
  <c r="O8" i="6"/>
  <c r="M13" i="6"/>
  <c r="M15" i="6" s="1"/>
  <c r="M19" i="6" s="1"/>
  <c r="I13" i="6"/>
  <c r="I15" i="6" s="1"/>
  <c r="I19" i="6" s="1"/>
  <c r="E13" i="6"/>
  <c r="E10" i="6"/>
  <c r="C15" i="6"/>
  <c r="C19" i="6" s="1"/>
  <c r="F15" i="6"/>
  <c r="F19" i="6" s="1"/>
  <c r="D15" i="6"/>
  <c r="D19" i="6" s="1"/>
  <c r="L15" i="6"/>
  <c r="L19" i="6" s="1"/>
  <c r="M16" i="6"/>
  <c r="M17" i="6" s="1"/>
  <c r="N15" i="6"/>
  <c r="N19" i="6" s="1"/>
  <c r="H15" i="6"/>
  <c r="H19" i="6" s="1"/>
  <c r="F16" i="6"/>
  <c r="F17" i="6" s="1"/>
  <c r="F18" i="6" s="1"/>
  <c r="G15" i="6"/>
  <c r="G19" i="6" s="1"/>
  <c r="J15" i="6"/>
  <c r="J19" i="6" s="1"/>
  <c r="K15" i="6"/>
  <c r="K19" i="6" s="1"/>
  <c r="D16" i="6"/>
  <c r="D17" i="6" s="1"/>
  <c r="H16" i="6"/>
  <c r="H17" i="6" s="1"/>
  <c r="L16" i="6"/>
  <c r="L17" i="6" s="1"/>
  <c r="E15" i="6"/>
  <c r="E19" i="6" s="1"/>
  <c r="J6" i="13" l="1"/>
  <c r="I53" i="7"/>
  <c r="E17" i="4"/>
  <c r="F17" i="4"/>
  <c r="G17" i="4"/>
  <c r="J53" i="8"/>
  <c r="K46" i="8"/>
  <c r="K48" i="8" s="1"/>
  <c r="L21" i="8"/>
  <c r="K21" i="7"/>
  <c r="J46" i="7"/>
  <c r="J48" i="7" s="1"/>
  <c r="J18" i="6"/>
  <c r="O10" i="6"/>
  <c r="E16" i="6"/>
  <c r="E17" i="6" s="1"/>
  <c r="E18" i="6" s="1"/>
  <c r="L18" i="6"/>
  <c r="I18" i="6"/>
  <c r="G18" i="6"/>
  <c r="K18" i="6"/>
  <c r="O19" i="6"/>
  <c r="D20" i="3" s="1"/>
  <c r="D18" i="6"/>
  <c r="O15" i="6"/>
  <c r="M18" i="6"/>
  <c r="H37" i="4"/>
  <c r="I37" i="4"/>
  <c r="J37" i="4"/>
  <c r="K37" i="4"/>
  <c r="L37" i="4"/>
  <c r="M37" i="4"/>
  <c r="N37" i="4"/>
  <c r="O37" i="4"/>
  <c r="H36" i="4"/>
  <c r="I36" i="4"/>
  <c r="J36" i="4"/>
  <c r="K36" i="4"/>
  <c r="L36" i="4"/>
  <c r="M36" i="4"/>
  <c r="N36" i="4"/>
  <c r="O36" i="4"/>
  <c r="H29" i="4"/>
  <c r="I29" i="4" s="1"/>
  <c r="J29" i="4" s="1"/>
  <c r="K29" i="4" s="1"/>
  <c r="L29" i="4" s="1"/>
  <c r="M29" i="4" s="1"/>
  <c r="N29" i="4" s="1"/>
  <c r="O29" i="4" s="1"/>
  <c r="E16" i="4"/>
  <c r="E18" i="4" s="1"/>
  <c r="E51" i="4" s="1"/>
  <c r="J34" i="13" l="1"/>
  <c r="L46" i="8"/>
  <c r="L48" i="8" s="1"/>
  <c r="M21" i="8"/>
  <c r="K53" i="8"/>
  <c r="K46" i="7"/>
  <c r="K48" i="7" s="1"/>
  <c r="L21" i="7"/>
  <c r="J53" i="7"/>
  <c r="O17" i="6"/>
  <c r="H18" i="6"/>
  <c r="O18" i="6" s="1"/>
  <c r="P18" i="6" s="1"/>
  <c r="O16" i="6"/>
  <c r="D3" i="3" s="1"/>
  <c r="D4" i="3" s="1"/>
  <c r="D5" i="3" s="1"/>
  <c r="N16" i="4"/>
  <c r="N18" i="4" s="1"/>
  <c r="I16" i="4"/>
  <c r="P17" i="6"/>
  <c r="O41" i="4"/>
  <c r="N41" i="4"/>
  <c r="L41" i="4"/>
  <c r="M41" i="4"/>
  <c r="J41" i="4"/>
  <c r="K41" i="4"/>
  <c r="H41" i="4"/>
  <c r="I41" i="4"/>
  <c r="M33" i="4"/>
  <c r="N33" i="4"/>
  <c r="O33" i="4"/>
  <c r="K33" i="4"/>
  <c r="L33" i="4"/>
  <c r="J33" i="4"/>
  <c r="H33" i="4"/>
  <c r="I33" i="4"/>
  <c r="P29" i="4"/>
  <c r="H34" i="4"/>
  <c r="I34" i="4" s="1"/>
  <c r="J34" i="4" s="1"/>
  <c r="K34" i="4" s="1"/>
  <c r="L34" i="4" s="1"/>
  <c r="M34" i="4" s="1"/>
  <c r="N34" i="4" s="1"/>
  <c r="O34" i="4" s="1"/>
  <c r="H30" i="4"/>
  <c r="I30" i="4" s="1"/>
  <c r="J30" i="4" s="1"/>
  <c r="K30" i="4" s="1"/>
  <c r="L30" i="4" s="1"/>
  <c r="M30" i="4" s="1"/>
  <c r="N30" i="4" s="1"/>
  <c r="O30" i="4" s="1"/>
  <c r="H28" i="4"/>
  <c r="I28" i="4" s="1"/>
  <c r="J28" i="4" s="1"/>
  <c r="K28" i="4" s="1"/>
  <c r="L28" i="4" s="1"/>
  <c r="M28" i="4" s="1"/>
  <c r="N28" i="4" s="1"/>
  <c r="O28" i="4" s="1"/>
  <c r="K6" i="13" l="1"/>
  <c r="K34" i="13" s="1"/>
  <c r="K53" i="7"/>
  <c r="L53" i="8"/>
  <c r="M46" i="8"/>
  <c r="M48" i="8" s="1"/>
  <c r="N21" i="8"/>
  <c r="L46" i="7"/>
  <c r="L48" i="7" s="1"/>
  <c r="M21" i="7"/>
  <c r="P45" i="4"/>
  <c r="P44" i="4"/>
  <c r="P43" i="4"/>
  <c r="P42" i="4"/>
  <c r="P41" i="4"/>
  <c r="P40" i="4"/>
  <c r="P38" i="4"/>
  <c r="P36" i="4"/>
  <c r="P35" i="4"/>
  <c r="P34" i="4"/>
  <c r="P33" i="4"/>
  <c r="P32" i="4"/>
  <c r="P31" i="4"/>
  <c r="P30" i="4"/>
  <c r="P28" i="4"/>
  <c r="E23" i="3"/>
  <c r="P23" i="4"/>
  <c r="O47" i="6"/>
  <c r="O46" i="6"/>
  <c r="O45" i="6"/>
  <c r="O44" i="6"/>
  <c r="O43" i="6"/>
  <c r="O41" i="6"/>
  <c r="O40" i="6"/>
  <c r="O39" i="6"/>
  <c r="O38" i="6"/>
  <c r="O34" i="6"/>
  <c r="O31" i="6"/>
  <c r="O30" i="6"/>
  <c r="O26" i="6"/>
  <c r="D23" i="3" s="1"/>
  <c r="O25" i="6"/>
  <c r="O24" i="6"/>
  <c r="D22" i="3" s="1"/>
  <c r="O23" i="6"/>
  <c r="L6" i="13" l="1"/>
  <c r="L34" i="13" s="1"/>
  <c r="B22" i="3"/>
  <c r="E22" i="3" s="1"/>
  <c r="B54" i="3"/>
  <c r="O21" i="8"/>
  <c r="O46" i="8" s="1"/>
  <c r="N46" i="8"/>
  <c r="N48" i="8" s="1"/>
  <c r="M53" i="8"/>
  <c r="L53" i="7"/>
  <c r="M46" i="7"/>
  <c r="M48" i="7" s="1"/>
  <c r="N21" i="7"/>
  <c r="G46" i="4"/>
  <c r="E46" i="4"/>
  <c r="H22" i="4"/>
  <c r="M6" i="13" l="1"/>
  <c r="M34" i="13" s="1"/>
  <c r="N53" i="8"/>
  <c r="O53" i="8" s="1"/>
  <c r="P21" i="8"/>
  <c r="O48" i="8"/>
  <c r="P48" i="8" s="1"/>
  <c r="P46" i="8"/>
  <c r="N46" i="7"/>
  <c r="N48" i="7" s="1"/>
  <c r="O21" i="7"/>
  <c r="M53" i="7"/>
  <c r="H21" i="4"/>
  <c r="F46" i="4"/>
  <c r="I22" i="4"/>
  <c r="D49" i="6"/>
  <c r="E49" i="6" s="1"/>
  <c r="F49" i="6" s="1"/>
  <c r="G49" i="6" s="1"/>
  <c r="H49" i="6" s="1"/>
  <c r="I49" i="6" s="1"/>
  <c r="J49" i="6" s="1"/>
  <c r="K49" i="6" s="1"/>
  <c r="L49" i="6" s="1"/>
  <c r="M49" i="6" s="1"/>
  <c r="N49" i="6" s="1"/>
  <c r="N48" i="6"/>
  <c r="C37" i="6"/>
  <c r="C36" i="6"/>
  <c r="D33" i="6"/>
  <c r="D29" i="6"/>
  <c r="D27" i="6"/>
  <c r="F16" i="4"/>
  <c r="F18" i="4" s="1"/>
  <c r="F51" i="4" s="1"/>
  <c r="O11" i="4"/>
  <c r="N11" i="4"/>
  <c r="M11" i="4"/>
  <c r="L11" i="4"/>
  <c r="K11" i="4"/>
  <c r="J11" i="4"/>
  <c r="I11" i="4"/>
  <c r="H11" i="4"/>
  <c r="D11" i="4"/>
  <c r="C130" i="2"/>
  <c r="E129" i="2"/>
  <c r="B129" i="2"/>
  <c r="D128" i="2"/>
  <c r="E128" i="2" s="1"/>
  <c r="D127" i="2"/>
  <c r="E127" i="2" s="1"/>
  <c r="D126" i="2"/>
  <c r="E126" i="2" s="1"/>
  <c r="AD125" i="2"/>
  <c r="AE125" i="2" s="1"/>
  <c r="AF125" i="2" s="1"/>
  <c r="AG125" i="2" s="1"/>
  <c r="AH125" i="2" s="1"/>
  <c r="AI125" i="2" s="1"/>
  <c r="AJ125" i="2" s="1"/>
  <c r="AK125" i="2" s="1"/>
  <c r="AL125" i="2" s="1"/>
  <c r="C121" i="2"/>
  <c r="D120" i="2"/>
  <c r="E120" i="2" s="1"/>
  <c r="D119" i="2"/>
  <c r="E119" i="2" s="1"/>
  <c r="D118" i="2"/>
  <c r="E118" i="2" s="1"/>
  <c r="D117" i="2"/>
  <c r="E117" i="2" s="1"/>
  <c r="Q116" i="2"/>
  <c r="N114" i="2"/>
  <c r="Q114" i="2" s="1"/>
  <c r="K111" i="2"/>
  <c r="N111" i="2" s="1"/>
  <c r="Q111" i="2" s="1"/>
  <c r="C111" i="2"/>
  <c r="R110" i="2"/>
  <c r="O110" i="2"/>
  <c r="K110" i="2"/>
  <c r="N110" i="2" s="1"/>
  <c r="Q110" i="2" s="1"/>
  <c r="G110" i="2"/>
  <c r="R109" i="2"/>
  <c r="O109" i="2"/>
  <c r="K109" i="2"/>
  <c r="N109" i="2" s="1"/>
  <c r="Q109" i="2" s="1"/>
  <c r="G109" i="2"/>
  <c r="E109" i="2"/>
  <c r="R108" i="2"/>
  <c r="O108" i="2"/>
  <c r="K108" i="2"/>
  <c r="N108" i="2" s="1"/>
  <c r="Q108" i="2" s="1"/>
  <c r="G108" i="2"/>
  <c r="D108" i="2"/>
  <c r="E108" i="2" s="1"/>
  <c r="N107" i="2"/>
  <c r="Q107" i="2" s="1"/>
  <c r="D107" i="2"/>
  <c r="E107" i="2" s="1"/>
  <c r="R106" i="2"/>
  <c r="O106" i="2"/>
  <c r="K106" i="2"/>
  <c r="N106" i="2" s="1"/>
  <c r="Q106" i="2" s="1"/>
  <c r="G106" i="2"/>
  <c r="D106" i="2"/>
  <c r="E106" i="2" s="1"/>
  <c r="K105" i="2"/>
  <c r="N105" i="2" s="1"/>
  <c r="Q105" i="2" s="1"/>
  <c r="G105" i="2"/>
  <c r="D105" i="2"/>
  <c r="E105" i="2" s="1"/>
  <c r="K104" i="2"/>
  <c r="N104" i="2" s="1"/>
  <c r="Q104" i="2" s="1"/>
  <c r="D104" i="2"/>
  <c r="E104" i="2" s="1"/>
  <c r="R103" i="2"/>
  <c r="O103" i="2"/>
  <c r="K103" i="2"/>
  <c r="N103" i="2" s="1"/>
  <c r="Q103" i="2" s="1"/>
  <c r="G103" i="2"/>
  <c r="D103" i="2"/>
  <c r="E103" i="2" s="1"/>
  <c r="R102" i="2"/>
  <c r="O102" i="2"/>
  <c r="K102" i="2"/>
  <c r="N102" i="2" s="1"/>
  <c r="Q102" i="2" s="1"/>
  <c r="G102" i="2"/>
  <c r="D102" i="2"/>
  <c r="E102" i="2" s="1"/>
  <c r="AU101" i="2"/>
  <c r="R101" i="2"/>
  <c r="O101" i="2"/>
  <c r="K101" i="2"/>
  <c r="N101" i="2" s="1"/>
  <c r="Q101" i="2" s="1"/>
  <c r="G101" i="2"/>
  <c r="D101" i="2"/>
  <c r="E101" i="2" s="1"/>
  <c r="X100" i="2"/>
  <c r="R100" i="2"/>
  <c r="O100" i="2"/>
  <c r="K100" i="2"/>
  <c r="N100" i="2" s="1"/>
  <c r="Q100" i="2" s="1"/>
  <c r="G100" i="2"/>
  <c r="D100" i="2"/>
  <c r="E100" i="2" s="1"/>
  <c r="X99" i="2"/>
  <c r="K99" i="2"/>
  <c r="N99" i="2" s="1"/>
  <c r="Q99" i="2" s="1"/>
  <c r="K98" i="2"/>
  <c r="N98" i="2" s="1"/>
  <c r="Q98" i="2" s="1"/>
  <c r="J98" i="2"/>
  <c r="I98" i="2"/>
  <c r="H98" i="2"/>
  <c r="K97" i="2"/>
  <c r="N97" i="2" s="1"/>
  <c r="Q97" i="2" s="1"/>
  <c r="R96" i="2"/>
  <c r="O96" i="2"/>
  <c r="K96" i="2"/>
  <c r="N96" i="2" s="1"/>
  <c r="Q96" i="2" s="1"/>
  <c r="K95" i="2"/>
  <c r="N95" i="2" s="1"/>
  <c r="Q95" i="2" s="1"/>
  <c r="K94" i="2"/>
  <c r="N94" i="2" s="1"/>
  <c r="Q94" i="2" s="1"/>
  <c r="R93" i="2"/>
  <c r="O93" i="2"/>
  <c r="K93" i="2"/>
  <c r="N93" i="2" s="1"/>
  <c r="Q93" i="2" s="1"/>
  <c r="E93" i="2"/>
  <c r="F93" i="2" s="1"/>
  <c r="R92" i="2"/>
  <c r="O92" i="2"/>
  <c r="K92" i="2"/>
  <c r="N92" i="2" s="1"/>
  <c r="Q92" i="2" s="1"/>
  <c r="K91" i="2"/>
  <c r="N91" i="2" s="1"/>
  <c r="Q91" i="2" s="1"/>
  <c r="AP90" i="2"/>
  <c r="K90" i="2"/>
  <c r="N90" i="2" s="1"/>
  <c r="Q90" i="2" s="1"/>
  <c r="AS89" i="2"/>
  <c r="AP89" i="2"/>
  <c r="K89" i="2"/>
  <c r="N89" i="2" s="1"/>
  <c r="Q89" i="2" s="1"/>
  <c r="AS88" i="2"/>
  <c r="AP88" i="2"/>
  <c r="R88" i="2"/>
  <c r="O88" i="2"/>
  <c r="K88" i="2"/>
  <c r="N88" i="2" s="1"/>
  <c r="Q88" i="2" s="1"/>
  <c r="AS87" i="2"/>
  <c r="R87" i="2"/>
  <c r="O87" i="2"/>
  <c r="N87" i="2"/>
  <c r="Q87" i="2" s="1"/>
  <c r="R86" i="2"/>
  <c r="N86" i="2"/>
  <c r="Q86" i="2" s="1"/>
  <c r="AU85" i="2"/>
  <c r="N85" i="2"/>
  <c r="Q85" i="2" s="1"/>
  <c r="N84" i="2"/>
  <c r="Q84" i="2" s="1"/>
  <c r="N83" i="2"/>
  <c r="Q83" i="2" s="1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AM76" i="2"/>
  <c r="AM75" i="2"/>
  <c r="AM74" i="2"/>
  <c r="AM73" i="2"/>
  <c r="AM72" i="2"/>
  <c r="AM71" i="2"/>
  <c r="AM70" i="2"/>
  <c r="AM69" i="2"/>
  <c r="C68" i="2"/>
  <c r="C77" i="2" s="1"/>
  <c r="AM67" i="2"/>
  <c r="AM66" i="2"/>
  <c r="AM65" i="2"/>
  <c r="AB63" i="2"/>
  <c r="AB62" i="2"/>
  <c r="AP56" i="2"/>
  <c r="AO56" i="2"/>
  <c r="C56" i="2"/>
  <c r="AO55" i="2"/>
  <c r="D55" i="2"/>
  <c r="E55" i="2" s="1"/>
  <c r="F55" i="2" s="1"/>
  <c r="G55" i="2" s="1"/>
  <c r="H55" i="2" s="1"/>
  <c r="I55" i="2" s="1"/>
  <c r="J55" i="2" s="1"/>
  <c r="K55" i="2" s="1"/>
  <c r="L55" i="2" s="1"/>
  <c r="M55" i="2" s="1"/>
  <c r="N55" i="2" s="1"/>
  <c r="AP54" i="2"/>
  <c r="AO54" i="2"/>
  <c r="D54" i="2"/>
  <c r="E54" i="2" s="1"/>
  <c r="F54" i="2" s="1"/>
  <c r="G54" i="2" s="1"/>
  <c r="H54" i="2" s="1"/>
  <c r="I54" i="2" s="1"/>
  <c r="J54" i="2" s="1"/>
  <c r="K54" i="2" s="1"/>
  <c r="L54" i="2" s="1"/>
  <c r="M54" i="2" s="1"/>
  <c r="N54" i="2" s="1"/>
  <c r="AP53" i="2"/>
  <c r="AO53" i="2"/>
  <c r="D53" i="2"/>
  <c r="E53" i="2" s="1"/>
  <c r="F53" i="2" s="1"/>
  <c r="G53" i="2" s="1"/>
  <c r="H53" i="2" s="1"/>
  <c r="I53" i="2" s="1"/>
  <c r="J53" i="2" s="1"/>
  <c r="K53" i="2" s="1"/>
  <c r="L53" i="2" s="1"/>
  <c r="M53" i="2" s="1"/>
  <c r="N53" i="2" s="1"/>
  <c r="AP52" i="2"/>
  <c r="AO52" i="2"/>
  <c r="D52" i="2"/>
  <c r="E52" i="2" s="1"/>
  <c r="F52" i="2" s="1"/>
  <c r="G52" i="2" s="1"/>
  <c r="H52" i="2" s="1"/>
  <c r="I52" i="2" s="1"/>
  <c r="J52" i="2" s="1"/>
  <c r="K52" i="2" s="1"/>
  <c r="L52" i="2" s="1"/>
  <c r="M52" i="2" s="1"/>
  <c r="N52" i="2" s="1"/>
  <c r="D51" i="2"/>
  <c r="AP49" i="2"/>
  <c r="AO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C49" i="2"/>
  <c r="D49" i="2" s="1"/>
  <c r="E49" i="2" s="1"/>
  <c r="F49" i="2" s="1"/>
  <c r="G49" i="2" s="1"/>
  <c r="H49" i="2" s="1"/>
  <c r="I49" i="2" s="1"/>
  <c r="J49" i="2" s="1"/>
  <c r="K49" i="2" s="1"/>
  <c r="L49" i="2" s="1"/>
  <c r="M49" i="2" s="1"/>
  <c r="N49" i="2" s="1"/>
  <c r="AP48" i="2"/>
  <c r="AO48" i="2"/>
  <c r="D48" i="2"/>
  <c r="E48" i="2" s="1"/>
  <c r="F48" i="2" s="1"/>
  <c r="G48" i="2" s="1"/>
  <c r="H48" i="2" s="1"/>
  <c r="I48" i="2" s="1"/>
  <c r="J48" i="2" s="1"/>
  <c r="K48" i="2" s="1"/>
  <c r="L48" i="2" s="1"/>
  <c r="M48" i="2" s="1"/>
  <c r="N48" i="2" s="1"/>
  <c r="AP47" i="2"/>
  <c r="AO47" i="2"/>
  <c r="D47" i="2"/>
  <c r="E47" i="2" s="1"/>
  <c r="AP46" i="2"/>
  <c r="AO46" i="2"/>
  <c r="D46" i="2"/>
  <c r="E46" i="2" s="1"/>
  <c r="C45" i="2"/>
  <c r="D45" i="2" s="1"/>
  <c r="AA44" i="2"/>
  <c r="O44" i="2"/>
  <c r="C44" i="2"/>
  <c r="D44" i="2" s="1"/>
  <c r="E44" i="2" s="1"/>
  <c r="F44" i="2" s="1"/>
  <c r="G44" i="2" s="1"/>
  <c r="H44" i="2" s="1"/>
  <c r="I44" i="2" s="1"/>
  <c r="J44" i="2" s="1"/>
  <c r="K44" i="2" s="1"/>
  <c r="L44" i="2" s="1"/>
  <c r="M44" i="2" s="1"/>
  <c r="N44" i="2" s="1"/>
  <c r="AA43" i="2"/>
  <c r="O43" i="2"/>
  <c r="C43" i="2"/>
  <c r="D43" i="2" s="1"/>
  <c r="E43" i="2" s="1"/>
  <c r="F43" i="2" s="1"/>
  <c r="G43" i="2" s="1"/>
  <c r="H43" i="2" s="1"/>
  <c r="I43" i="2" s="1"/>
  <c r="J43" i="2" s="1"/>
  <c r="K43" i="2" s="1"/>
  <c r="L43" i="2" s="1"/>
  <c r="M43" i="2" s="1"/>
  <c r="N43" i="2" s="1"/>
  <c r="AP42" i="2"/>
  <c r="AO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C42" i="2"/>
  <c r="D42" i="2" s="1"/>
  <c r="E42" i="2" s="1"/>
  <c r="F42" i="2" s="1"/>
  <c r="D41" i="2"/>
  <c r="E41" i="2" s="1"/>
  <c r="F41" i="2" s="1"/>
  <c r="G41" i="2" s="1"/>
  <c r="D40" i="2"/>
  <c r="E40" i="2" s="1"/>
  <c r="F40" i="2" s="1"/>
  <c r="G40" i="2" s="1"/>
  <c r="H40" i="2" s="1"/>
  <c r="I40" i="2" s="1"/>
  <c r="J40" i="2" s="1"/>
  <c r="K40" i="2" s="1"/>
  <c r="L40" i="2" s="1"/>
  <c r="M40" i="2" s="1"/>
  <c r="N40" i="2" s="1"/>
  <c r="O40" i="2" s="1"/>
  <c r="AP39" i="2"/>
  <c r="AO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C39" i="2"/>
  <c r="AP38" i="2"/>
  <c r="AO38" i="2"/>
  <c r="D38" i="2"/>
  <c r="D37" i="2"/>
  <c r="D36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C35" i="2"/>
  <c r="D35" i="2" s="1"/>
  <c r="AP34" i="2"/>
  <c r="AO34" i="2"/>
  <c r="P34" i="2"/>
  <c r="Q34" i="2" s="1"/>
  <c r="R34" i="2" s="1"/>
  <c r="S34" i="2" s="1"/>
  <c r="T34" i="2" s="1"/>
  <c r="U34" i="2" s="1"/>
  <c r="V34" i="2" s="1"/>
  <c r="W34" i="2" s="1"/>
  <c r="X34" i="2" s="1"/>
  <c r="Y34" i="2" s="1"/>
  <c r="Z34" i="2" s="1"/>
  <c r="AA34" i="2" s="1"/>
  <c r="D34" i="2"/>
  <c r="E34" i="2" s="1"/>
  <c r="N33" i="2"/>
  <c r="L88" i="2" s="1"/>
  <c r="AQ32" i="2"/>
  <c r="AP32" i="2"/>
  <c r="AU62" i="2" s="1"/>
  <c r="AO32" i="2"/>
  <c r="AT62" i="2" s="1"/>
  <c r="AP31" i="2"/>
  <c r="G31" i="2"/>
  <c r="H31" i="2" s="1"/>
  <c r="AP30" i="2"/>
  <c r="AO30" i="2"/>
  <c r="AN30" i="2"/>
  <c r="P30" i="2"/>
  <c r="Q30" i="2" s="1"/>
  <c r="R30" i="2" s="1"/>
  <c r="S30" i="2" s="1"/>
  <c r="T30" i="2" s="1"/>
  <c r="U30" i="2" s="1"/>
  <c r="V30" i="2" s="1"/>
  <c r="W30" i="2" s="1"/>
  <c r="X30" i="2" s="1"/>
  <c r="Y30" i="2" s="1"/>
  <c r="Z30" i="2" s="1"/>
  <c r="D30" i="2"/>
  <c r="E30" i="2" s="1"/>
  <c r="F30" i="2" s="1"/>
  <c r="G30" i="2" s="1"/>
  <c r="H30" i="2" s="1"/>
  <c r="I30" i="2" s="1"/>
  <c r="J30" i="2" s="1"/>
  <c r="K30" i="2" s="1"/>
  <c r="L30" i="2" s="1"/>
  <c r="AT29" i="2"/>
  <c r="AM29" i="2"/>
  <c r="AB28" i="2"/>
  <c r="AC28" i="2" s="1"/>
  <c r="P28" i="2"/>
  <c r="N28" i="2"/>
  <c r="D28" i="2"/>
  <c r="E28" i="2" s="1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M22" i="2"/>
  <c r="L84" i="2" s="1"/>
  <c r="AM21" i="2"/>
  <c r="AP17" i="2"/>
  <c r="AO17" i="2"/>
  <c r="AN17" i="2"/>
  <c r="AM17" i="2"/>
  <c r="AP16" i="2"/>
  <c r="AO16" i="2"/>
  <c r="AN16" i="2"/>
  <c r="AM16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AL11" i="2"/>
  <c r="AK11" i="2"/>
  <c r="AJ11" i="2"/>
  <c r="AI11" i="2"/>
  <c r="AH11" i="2"/>
  <c r="AG11" i="2"/>
  <c r="AF11" i="2"/>
  <c r="AF14" i="2" s="1"/>
  <c r="AF15" i="2" s="1"/>
  <c r="AF18" i="2" s="1"/>
  <c r="AE11" i="2"/>
  <c r="AD11" i="2"/>
  <c r="AC11" i="2"/>
  <c r="AB11" i="2"/>
  <c r="AA11" i="2"/>
  <c r="Z11" i="2"/>
  <c r="Y11" i="2"/>
  <c r="X11" i="2"/>
  <c r="X14" i="2" s="1"/>
  <c r="X15" i="2" s="1"/>
  <c r="X18" i="2" s="1"/>
  <c r="W11" i="2"/>
  <c r="V11" i="2"/>
  <c r="V14" i="2" s="1"/>
  <c r="V15" i="2" s="1"/>
  <c r="V18" i="2" s="1"/>
  <c r="U11" i="2"/>
  <c r="T11" i="2"/>
  <c r="S11" i="2"/>
  <c r="R11" i="2"/>
  <c r="Q11" i="2"/>
  <c r="P11" i="2"/>
  <c r="P14" i="2" s="1"/>
  <c r="P15" i="2" s="1"/>
  <c r="P18" i="2" s="1"/>
  <c r="O11" i="2"/>
  <c r="N11" i="2"/>
  <c r="N14" i="2" s="1"/>
  <c r="N15" i="2" s="1"/>
  <c r="N18" i="2" s="1"/>
  <c r="N24" i="2" s="1"/>
  <c r="M11" i="2"/>
  <c r="M14" i="2" s="1"/>
  <c r="M15" i="2" s="1"/>
  <c r="M18" i="2" s="1"/>
  <c r="L11" i="2"/>
  <c r="K11" i="2"/>
  <c r="J11" i="2"/>
  <c r="I11" i="2"/>
  <c r="H11" i="2"/>
  <c r="H14" i="2" s="1"/>
  <c r="H15" i="2" s="1"/>
  <c r="H18" i="2" s="1"/>
  <c r="H24" i="2" s="1"/>
  <c r="G11" i="2"/>
  <c r="F11" i="2"/>
  <c r="F14" i="2" s="1"/>
  <c r="F15" i="2" s="1"/>
  <c r="F18" i="2" s="1"/>
  <c r="F24" i="2" s="1"/>
  <c r="E11" i="2"/>
  <c r="E14" i="2" s="1"/>
  <c r="E15" i="2" s="1"/>
  <c r="E18" i="2" s="1"/>
  <c r="E24" i="2" s="1"/>
  <c r="D11" i="2"/>
  <c r="C11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AP5" i="2"/>
  <c r="AO5" i="2"/>
  <c r="AN5" i="2"/>
  <c r="AM5" i="2"/>
  <c r="AP4" i="2"/>
  <c r="AO4" i="2"/>
  <c r="AN4" i="2"/>
  <c r="AM4" i="2"/>
  <c r="AP3" i="2"/>
  <c r="AO3" i="2"/>
  <c r="AN3" i="2"/>
  <c r="AM3" i="2"/>
  <c r="N6" i="13" l="1"/>
  <c r="J24" i="4"/>
  <c r="J25" i="4"/>
  <c r="K24" i="4"/>
  <c r="K25" i="4"/>
  <c r="O25" i="4"/>
  <c r="O24" i="4"/>
  <c r="H24" i="4"/>
  <c r="H25" i="4"/>
  <c r="L25" i="4"/>
  <c r="L24" i="4"/>
  <c r="M25" i="4"/>
  <c r="M24" i="4"/>
  <c r="N24" i="4"/>
  <c r="N25" i="4"/>
  <c r="I25" i="4"/>
  <c r="I24" i="4"/>
  <c r="N53" i="7"/>
  <c r="M17" i="4"/>
  <c r="N17" i="4"/>
  <c r="L17" i="4"/>
  <c r="D17" i="4"/>
  <c r="O17" i="4"/>
  <c r="O46" i="7"/>
  <c r="P21" i="7"/>
  <c r="K17" i="4"/>
  <c r="H17" i="4"/>
  <c r="I17" i="4"/>
  <c r="J17" i="4"/>
  <c r="G104" i="2"/>
  <c r="D14" i="2"/>
  <c r="D15" i="2" s="1"/>
  <c r="D18" i="2" s="1"/>
  <c r="D24" i="2" s="1"/>
  <c r="L14" i="2"/>
  <c r="L15" i="2" s="1"/>
  <c r="L18" i="2" s="1"/>
  <c r="L24" i="2" s="1"/>
  <c r="T14" i="2"/>
  <c r="T15" i="2" s="1"/>
  <c r="T18" i="2" s="1"/>
  <c r="T24" i="2" s="1"/>
  <c r="AB14" i="2"/>
  <c r="AB15" i="2" s="1"/>
  <c r="AB18" i="2" s="1"/>
  <c r="AJ14" i="2"/>
  <c r="AJ15" i="2" s="1"/>
  <c r="AJ18" i="2" s="1"/>
  <c r="J14" i="2"/>
  <c r="J15" i="2" s="1"/>
  <c r="J18" i="2" s="1"/>
  <c r="J24" i="2" s="1"/>
  <c r="R14" i="2"/>
  <c r="R15" i="2" s="1"/>
  <c r="R18" i="2" s="1"/>
  <c r="Z14" i="2"/>
  <c r="Z15" i="2" s="1"/>
  <c r="Z18" i="2" s="1"/>
  <c r="AO43" i="2"/>
  <c r="F48" i="4"/>
  <c r="I21" i="4"/>
  <c r="P11" i="4"/>
  <c r="Z99" i="2"/>
  <c r="N51" i="4"/>
  <c r="M24" i="2"/>
  <c r="U14" i="2"/>
  <c r="U15" i="2" s="1"/>
  <c r="U18" i="2" s="1"/>
  <c r="U24" i="2" s="1"/>
  <c r="AC14" i="2"/>
  <c r="AC15" i="2" s="1"/>
  <c r="AC18" i="2" s="1"/>
  <c r="AK14" i="2"/>
  <c r="AK15" i="2" s="1"/>
  <c r="AK18" i="2" s="1"/>
  <c r="O104" i="2"/>
  <c r="C133" i="2"/>
  <c r="AP50" i="2"/>
  <c r="K14" i="2"/>
  <c r="K15" i="2" s="1"/>
  <c r="K18" i="2" s="1"/>
  <c r="K24" i="2" s="1"/>
  <c r="S14" i="2"/>
  <c r="S15" i="2" s="1"/>
  <c r="S18" i="2" s="1"/>
  <c r="S24" i="2" s="1"/>
  <c r="AO12" i="2"/>
  <c r="AQ29" i="2"/>
  <c r="C14" i="2"/>
  <c r="C15" i="2" s="1"/>
  <c r="R84" i="2"/>
  <c r="AN23" i="2"/>
  <c r="AS58" i="2" s="1"/>
  <c r="AM68" i="2"/>
  <c r="D111" i="2"/>
  <c r="D122" i="2" s="1"/>
  <c r="D130" i="2" s="1"/>
  <c r="J106" i="2"/>
  <c r="G107" i="2"/>
  <c r="H110" i="2" s="1"/>
  <c r="AP23" i="2"/>
  <c r="AO36" i="2"/>
  <c r="AP43" i="2"/>
  <c r="AM77" i="2"/>
  <c r="AN70" i="2" s="1"/>
  <c r="I105" i="2"/>
  <c r="E121" i="2"/>
  <c r="AM12" i="2"/>
  <c r="AD14" i="2"/>
  <c r="AD15" i="2" s="1"/>
  <c r="AD18" i="2" s="1"/>
  <c r="AD24" i="2" s="1"/>
  <c r="AH14" i="2"/>
  <c r="AH15" i="2" s="1"/>
  <c r="AH18" i="2" s="1"/>
  <c r="AL14" i="2"/>
  <c r="AL15" i="2" s="1"/>
  <c r="AL18" i="2" s="1"/>
  <c r="AO13" i="2"/>
  <c r="AP36" i="2"/>
  <c r="AU65" i="2" s="1"/>
  <c r="I106" i="2"/>
  <c r="C122" i="2"/>
  <c r="AN6" i="2"/>
  <c r="AP6" i="2"/>
  <c r="AM11" i="2"/>
  <c r="O14" i="2"/>
  <c r="O15" i="2" s="1"/>
  <c r="W14" i="2"/>
  <c r="W15" i="2" s="1"/>
  <c r="W18" i="2" s="1"/>
  <c r="W24" i="2" s="1"/>
  <c r="AE14" i="2"/>
  <c r="AE15" i="2" s="1"/>
  <c r="AE18" i="2" s="1"/>
  <c r="AO11" i="2"/>
  <c r="M16" i="4"/>
  <c r="M18" i="4" s="1"/>
  <c r="M51" i="4" s="1"/>
  <c r="J22" i="4"/>
  <c r="J16" i="4"/>
  <c r="J18" i="4" s="1"/>
  <c r="J51" i="4" s="1"/>
  <c r="I18" i="4"/>
  <c r="I51" i="4" s="1"/>
  <c r="E27" i="6"/>
  <c r="F27" i="6" s="1"/>
  <c r="G27" i="6" s="1"/>
  <c r="H27" i="6" s="1"/>
  <c r="I27" i="6" s="1"/>
  <c r="J27" i="6" s="1"/>
  <c r="K27" i="6" s="1"/>
  <c r="L27" i="6" s="1"/>
  <c r="M27" i="6" s="1"/>
  <c r="N27" i="6" s="1"/>
  <c r="O28" i="6"/>
  <c r="O42" i="6"/>
  <c r="E33" i="6"/>
  <c r="F33" i="6" s="1"/>
  <c r="H33" i="6" s="1"/>
  <c r="I33" i="6" s="1"/>
  <c r="J33" i="6" s="1"/>
  <c r="K33" i="6" s="1"/>
  <c r="L33" i="6" s="1"/>
  <c r="M33" i="6" s="1"/>
  <c r="N33" i="6" s="1"/>
  <c r="O35" i="6"/>
  <c r="E29" i="6"/>
  <c r="F29" i="6" s="1"/>
  <c r="G29" i="6" s="1"/>
  <c r="H29" i="6" s="1"/>
  <c r="I29" i="6" s="1"/>
  <c r="J29" i="6" s="1"/>
  <c r="K29" i="6" s="1"/>
  <c r="L29" i="6" s="1"/>
  <c r="M29" i="6" s="1"/>
  <c r="N29" i="6" s="1"/>
  <c r="E22" i="6"/>
  <c r="F22" i="6" s="1"/>
  <c r="O32" i="6"/>
  <c r="D36" i="6"/>
  <c r="C50" i="6"/>
  <c r="C52" i="6" s="1"/>
  <c r="D37" i="6"/>
  <c r="G16" i="4"/>
  <c r="G18" i="4" s="1"/>
  <c r="O16" i="4"/>
  <c r="K16" i="4"/>
  <c r="K18" i="4" s="1"/>
  <c r="K51" i="4" s="1"/>
  <c r="H16" i="4"/>
  <c r="H18" i="4" s="1"/>
  <c r="D16" i="4"/>
  <c r="L16" i="4"/>
  <c r="L18" i="4" s="1"/>
  <c r="L51" i="4" s="1"/>
  <c r="AL24" i="2"/>
  <c r="AB24" i="2"/>
  <c r="AJ24" i="2"/>
  <c r="AB34" i="2"/>
  <c r="AC34" i="2" s="1"/>
  <c r="AD34" i="2" s="1"/>
  <c r="AE34" i="2" s="1"/>
  <c r="AF34" i="2" s="1"/>
  <c r="AG34" i="2" s="1"/>
  <c r="AH34" i="2" s="1"/>
  <c r="AI34" i="2" s="1"/>
  <c r="AJ34" i="2" s="1"/>
  <c r="AK34" i="2" s="1"/>
  <c r="AL34" i="2" s="1"/>
  <c r="C18" i="2"/>
  <c r="V24" i="2"/>
  <c r="O18" i="2"/>
  <c r="AE24" i="2"/>
  <c r="X24" i="2"/>
  <c r="I14" i="2"/>
  <c r="I15" i="2" s="1"/>
  <c r="I18" i="2" s="1"/>
  <c r="I24" i="2" s="1"/>
  <c r="Q14" i="2"/>
  <c r="Q15" i="2" s="1"/>
  <c r="Q18" i="2" s="1"/>
  <c r="Y14" i="2"/>
  <c r="Y15" i="2" s="1"/>
  <c r="Y18" i="2" s="1"/>
  <c r="AG14" i="2"/>
  <c r="AG15" i="2" s="1"/>
  <c r="AG18" i="2" s="1"/>
  <c r="E38" i="2"/>
  <c r="F38" i="2" s="1"/>
  <c r="G38" i="2" s="1"/>
  <c r="H38" i="2" s="1"/>
  <c r="I38" i="2" s="1"/>
  <c r="J38" i="2" s="1"/>
  <c r="K38" i="2" s="1"/>
  <c r="L38" i="2" s="1"/>
  <c r="M38" i="2" s="1"/>
  <c r="N38" i="2" s="1"/>
  <c r="Z24" i="2"/>
  <c r="AN13" i="2"/>
  <c r="AP13" i="2"/>
  <c r="AT13" i="2" s="1"/>
  <c r="AU13" i="2" s="1"/>
  <c r="AC24" i="2"/>
  <c r="O90" i="2"/>
  <c r="E36" i="2"/>
  <c r="F36" i="2" s="1"/>
  <c r="G36" i="2" s="1"/>
  <c r="H36" i="2" s="1"/>
  <c r="I36" i="2" s="1"/>
  <c r="J36" i="2" s="1"/>
  <c r="K36" i="2" s="1"/>
  <c r="L36" i="2" s="1"/>
  <c r="M36" i="2" s="1"/>
  <c r="N36" i="2" s="1"/>
  <c r="O36" i="2" s="1"/>
  <c r="R24" i="2"/>
  <c r="AH24" i="2"/>
  <c r="AO6" i="2"/>
  <c r="AM6" i="2"/>
  <c r="AN11" i="2"/>
  <c r="AP11" i="2"/>
  <c r="AT11" i="2" s="1"/>
  <c r="AU11" i="2" s="1"/>
  <c r="AA14" i="2"/>
  <c r="AA15" i="2" s="1"/>
  <c r="AI14" i="2"/>
  <c r="AI15" i="2" s="1"/>
  <c r="AI18" i="2" s="1"/>
  <c r="AN12" i="2"/>
  <c r="AP12" i="2"/>
  <c r="AT12" i="2" s="1"/>
  <c r="AU12" i="2" s="1"/>
  <c r="G14" i="2"/>
  <c r="G15" i="2" s="1"/>
  <c r="G18" i="2" s="1"/>
  <c r="G24" i="2" s="1"/>
  <c r="R94" i="2"/>
  <c r="AP40" i="2"/>
  <c r="AF24" i="2"/>
  <c r="E35" i="2"/>
  <c r="P24" i="2"/>
  <c r="P43" i="2"/>
  <c r="P44" i="2"/>
  <c r="Q28" i="2"/>
  <c r="AK24" i="2"/>
  <c r="M30" i="2"/>
  <c r="F34" i="2"/>
  <c r="G34" i="2" s="1"/>
  <c r="H34" i="2" s="1"/>
  <c r="I34" i="2" s="1"/>
  <c r="J34" i="2" s="1"/>
  <c r="K34" i="2" s="1"/>
  <c r="L34" i="2" s="1"/>
  <c r="M34" i="2" s="1"/>
  <c r="N34" i="2" s="1"/>
  <c r="D39" i="2"/>
  <c r="E39" i="2" s="1"/>
  <c r="F39" i="2" s="1"/>
  <c r="G39" i="2" s="1"/>
  <c r="H39" i="2" s="1"/>
  <c r="I39" i="2" s="1"/>
  <c r="J39" i="2" s="1"/>
  <c r="K39" i="2" s="1"/>
  <c r="L39" i="2" s="1"/>
  <c r="M39" i="2" s="1"/>
  <c r="N39" i="2" s="1"/>
  <c r="AM13" i="2"/>
  <c r="F28" i="2"/>
  <c r="P40" i="2"/>
  <c r="Q40" i="2" s="1"/>
  <c r="R40" i="2" s="1"/>
  <c r="S40" i="2" s="1"/>
  <c r="T40" i="2" s="1"/>
  <c r="U40" i="2" s="1"/>
  <c r="V40" i="2" s="1"/>
  <c r="W40" i="2" s="1"/>
  <c r="X40" i="2" s="1"/>
  <c r="Y40" i="2" s="1"/>
  <c r="Z40" i="2" s="1"/>
  <c r="AA40" i="2" s="1"/>
  <c r="N7" i="2"/>
  <c r="AU58" i="2"/>
  <c r="O89" i="2"/>
  <c r="E37" i="2"/>
  <c r="F37" i="2" s="1"/>
  <c r="G37" i="2" s="1"/>
  <c r="H37" i="2" s="1"/>
  <c r="I37" i="2" s="1"/>
  <c r="J37" i="2" s="1"/>
  <c r="K37" i="2" s="1"/>
  <c r="L37" i="2" s="1"/>
  <c r="M37" i="2" s="1"/>
  <c r="N37" i="2" s="1"/>
  <c r="L95" i="2"/>
  <c r="R97" i="2"/>
  <c r="E45" i="2"/>
  <c r="F45" i="2" s="1"/>
  <c r="G45" i="2" s="1"/>
  <c r="H45" i="2" s="1"/>
  <c r="I45" i="2" s="1"/>
  <c r="J45" i="2" s="1"/>
  <c r="K45" i="2" s="1"/>
  <c r="L45" i="2" s="1"/>
  <c r="M45" i="2" s="1"/>
  <c r="N45" i="2" s="1"/>
  <c r="E111" i="2"/>
  <c r="E122" i="2" s="1"/>
  <c r="E130" i="2" s="1"/>
  <c r="V101" i="2"/>
  <c r="AN34" i="2"/>
  <c r="AN44" i="2"/>
  <c r="AN45" i="2"/>
  <c r="E51" i="2"/>
  <c r="F51" i="2" s="1"/>
  <c r="G51" i="2" s="1"/>
  <c r="H51" i="2" s="1"/>
  <c r="I51" i="2" s="1"/>
  <c r="J51" i="2" s="1"/>
  <c r="K51" i="2" s="1"/>
  <c r="L51" i="2" s="1"/>
  <c r="M51" i="2" s="1"/>
  <c r="N51" i="2" s="1"/>
  <c r="AN54" i="2"/>
  <c r="AM22" i="2"/>
  <c r="AM23" i="2" s="1"/>
  <c r="AB44" i="2"/>
  <c r="AO31" i="2"/>
  <c r="AT63" i="2"/>
  <c r="AB43" i="2"/>
  <c r="AC44" i="2"/>
  <c r="AU63" i="2"/>
  <c r="O94" i="2"/>
  <c r="AC43" i="2"/>
  <c r="O84" i="2"/>
  <c r="AD28" i="2"/>
  <c r="O86" i="2"/>
  <c r="AM33" i="2"/>
  <c r="AO35" i="2"/>
  <c r="AT65" i="2"/>
  <c r="H41" i="2"/>
  <c r="I41" i="2" s="1"/>
  <c r="J41" i="2" s="1"/>
  <c r="K41" i="2" s="1"/>
  <c r="L41" i="2" s="1"/>
  <c r="M41" i="2" s="1"/>
  <c r="N41" i="2" s="1"/>
  <c r="AN41" i="2"/>
  <c r="G42" i="2"/>
  <c r="H42" i="2" s="1"/>
  <c r="I42" i="2" s="1"/>
  <c r="J42" i="2" s="1"/>
  <c r="K42" i="2" s="1"/>
  <c r="L42" i="2" s="1"/>
  <c r="M42" i="2" s="1"/>
  <c r="N42" i="2" s="1"/>
  <c r="O97" i="2"/>
  <c r="F47" i="2"/>
  <c r="G47" i="2" s="1"/>
  <c r="H47" i="2" s="1"/>
  <c r="I47" i="2" s="1"/>
  <c r="J47" i="2" s="1"/>
  <c r="K47" i="2" s="1"/>
  <c r="L47" i="2" s="1"/>
  <c r="M47" i="2" s="1"/>
  <c r="N47" i="2" s="1"/>
  <c r="AN53" i="2"/>
  <c r="AO40" i="2"/>
  <c r="AO23" i="2"/>
  <c r="I31" i="2"/>
  <c r="J31" i="2" s="1"/>
  <c r="L89" i="2"/>
  <c r="R90" i="2"/>
  <c r="F46" i="2"/>
  <c r="G46" i="2" s="1"/>
  <c r="H46" i="2" s="1"/>
  <c r="I46" i="2" s="1"/>
  <c r="J46" i="2" s="1"/>
  <c r="K46" i="2" s="1"/>
  <c r="L46" i="2" s="1"/>
  <c r="M46" i="2" s="1"/>
  <c r="N46" i="2" s="1"/>
  <c r="AM54" i="2"/>
  <c r="AN55" i="2"/>
  <c r="AM48" i="2"/>
  <c r="AN56" i="2"/>
  <c r="H100" i="2"/>
  <c r="I100" i="2" s="1"/>
  <c r="J100" i="2" s="1"/>
  <c r="X101" i="2"/>
  <c r="R104" i="2"/>
  <c r="AM49" i="2"/>
  <c r="L103" i="2"/>
  <c r="AN49" i="2"/>
  <c r="D121" i="2"/>
  <c r="AN50" i="2"/>
  <c r="L108" i="2"/>
  <c r="L109" i="2"/>
  <c r="L110" i="2"/>
  <c r="AO50" i="2"/>
  <c r="D56" i="2"/>
  <c r="L104" i="2"/>
  <c r="AM52" i="2"/>
  <c r="AM53" i="2"/>
  <c r="C132" i="1"/>
  <c r="E131" i="1"/>
  <c r="B131" i="1"/>
  <c r="D130" i="1"/>
  <c r="E130" i="1" s="1"/>
  <c r="D129" i="1"/>
  <c r="E129" i="1" s="1"/>
  <c r="D128" i="1"/>
  <c r="E128" i="1" s="1"/>
  <c r="AD127" i="1"/>
  <c r="AE127" i="1" s="1"/>
  <c r="AF127" i="1" s="1"/>
  <c r="AG127" i="1" s="1"/>
  <c r="AH127" i="1" s="1"/>
  <c r="AI127" i="1" s="1"/>
  <c r="AJ127" i="1" s="1"/>
  <c r="AK127" i="1" s="1"/>
  <c r="AL127" i="1" s="1"/>
  <c r="C123" i="1"/>
  <c r="D122" i="1"/>
  <c r="E122" i="1" s="1"/>
  <c r="D121" i="1"/>
  <c r="E121" i="1" s="1"/>
  <c r="D120" i="1"/>
  <c r="E120" i="1" s="1"/>
  <c r="D119" i="1"/>
  <c r="Q118" i="1"/>
  <c r="N116" i="1"/>
  <c r="Q116" i="1" s="1"/>
  <c r="K113" i="1"/>
  <c r="N113" i="1" s="1"/>
  <c r="Q113" i="1" s="1"/>
  <c r="C113" i="1"/>
  <c r="C124" i="1" s="1"/>
  <c r="R112" i="1"/>
  <c r="O112" i="1"/>
  <c r="K112" i="1"/>
  <c r="N112" i="1" s="1"/>
  <c r="Q112" i="1" s="1"/>
  <c r="G112" i="1"/>
  <c r="R111" i="1"/>
  <c r="O111" i="1"/>
  <c r="K111" i="1"/>
  <c r="N111" i="1" s="1"/>
  <c r="Q111" i="1" s="1"/>
  <c r="G111" i="1"/>
  <c r="E111" i="1"/>
  <c r="R110" i="1"/>
  <c r="O110" i="1"/>
  <c r="K110" i="1"/>
  <c r="N110" i="1" s="1"/>
  <c r="Q110" i="1" s="1"/>
  <c r="G110" i="1"/>
  <c r="D110" i="1"/>
  <c r="E110" i="1" s="1"/>
  <c r="Q109" i="1"/>
  <c r="N109" i="1"/>
  <c r="D109" i="1"/>
  <c r="E109" i="1" s="1"/>
  <c r="R108" i="1"/>
  <c r="O108" i="1"/>
  <c r="K108" i="1"/>
  <c r="N108" i="1" s="1"/>
  <c r="Q108" i="1" s="1"/>
  <c r="G108" i="1"/>
  <c r="D108" i="1"/>
  <c r="E108" i="1" s="1"/>
  <c r="K107" i="1"/>
  <c r="N107" i="1" s="1"/>
  <c r="Q107" i="1" s="1"/>
  <c r="G107" i="1"/>
  <c r="D107" i="1"/>
  <c r="E107" i="1" s="1"/>
  <c r="K106" i="1"/>
  <c r="N106" i="1" s="1"/>
  <c r="Q106" i="1" s="1"/>
  <c r="D106" i="1"/>
  <c r="G106" i="1" s="1"/>
  <c r="R105" i="1"/>
  <c r="O105" i="1"/>
  <c r="K105" i="1"/>
  <c r="N105" i="1" s="1"/>
  <c r="Q105" i="1" s="1"/>
  <c r="G105" i="1"/>
  <c r="D105" i="1"/>
  <c r="E105" i="1" s="1"/>
  <c r="R104" i="1"/>
  <c r="O104" i="1"/>
  <c r="K104" i="1"/>
  <c r="N104" i="1" s="1"/>
  <c r="Q104" i="1" s="1"/>
  <c r="G104" i="1"/>
  <c r="D104" i="1"/>
  <c r="E104" i="1" s="1"/>
  <c r="AU103" i="1"/>
  <c r="R103" i="1"/>
  <c r="O103" i="1"/>
  <c r="K103" i="1"/>
  <c r="N103" i="1" s="1"/>
  <c r="Q103" i="1" s="1"/>
  <c r="G103" i="1"/>
  <c r="D103" i="1"/>
  <c r="E103" i="1" s="1"/>
  <c r="X102" i="1"/>
  <c r="R102" i="1"/>
  <c r="O102" i="1"/>
  <c r="K102" i="1"/>
  <c r="N102" i="1" s="1"/>
  <c r="Q102" i="1" s="1"/>
  <c r="G102" i="1"/>
  <c r="D102" i="1"/>
  <c r="E102" i="1" s="1"/>
  <c r="X101" i="1"/>
  <c r="K101" i="1"/>
  <c r="N101" i="1" s="1"/>
  <c r="Q101" i="1" s="1"/>
  <c r="K100" i="1"/>
  <c r="N100" i="1" s="1"/>
  <c r="Q100" i="1" s="1"/>
  <c r="J100" i="1"/>
  <c r="I100" i="1"/>
  <c r="H100" i="1"/>
  <c r="K99" i="1"/>
  <c r="N99" i="1" s="1"/>
  <c r="Q99" i="1" s="1"/>
  <c r="R98" i="1"/>
  <c r="O98" i="1"/>
  <c r="K98" i="1"/>
  <c r="N98" i="1" s="1"/>
  <c r="Q98" i="1" s="1"/>
  <c r="K97" i="1"/>
  <c r="N97" i="1" s="1"/>
  <c r="Q97" i="1" s="1"/>
  <c r="K96" i="1"/>
  <c r="N96" i="1" s="1"/>
  <c r="Q96" i="1" s="1"/>
  <c r="R95" i="1"/>
  <c r="O95" i="1"/>
  <c r="K95" i="1"/>
  <c r="N95" i="1" s="1"/>
  <c r="Q95" i="1" s="1"/>
  <c r="E95" i="1"/>
  <c r="F95" i="1" s="1"/>
  <c r="R94" i="1"/>
  <c r="O94" i="1"/>
  <c r="K94" i="1"/>
  <c r="N94" i="1" s="1"/>
  <c r="Q94" i="1" s="1"/>
  <c r="K93" i="1"/>
  <c r="N93" i="1" s="1"/>
  <c r="Q93" i="1" s="1"/>
  <c r="AP92" i="1"/>
  <c r="K92" i="1"/>
  <c r="N92" i="1" s="1"/>
  <c r="Q92" i="1" s="1"/>
  <c r="AS91" i="1"/>
  <c r="AP91" i="1"/>
  <c r="K91" i="1"/>
  <c r="N91" i="1" s="1"/>
  <c r="Q91" i="1" s="1"/>
  <c r="AS90" i="1"/>
  <c r="AP90" i="1"/>
  <c r="R90" i="1"/>
  <c r="O90" i="1"/>
  <c r="N90" i="1"/>
  <c r="Q90" i="1" s="1"/>
  <c r="K90" i="1"/>
  <c r="AS89" i="1"/>
  <c r="R89" i="1"/>
  <c r="O89" i="1"/>
  <c r="N89" i="1"/>
  <c r="Q89" i="1" s="1"/>
  <c r="R88" i="1"/>
  <c r="N88" i="1"/>
  <c r="Q88" i="1" s="1"/>
  <c r="AU87" i="1"/>
  <c r="N87" i="1"/>
  <c r="Q87" i="1" s="1"/>
  <c r="N86" i="1"/>
  <c r="Q86" i="1" s="1"/>
  <c r="N85" i="1"/>
  <c r="Q85" i="1" s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AM78" i="1"/>
  <c r="AM77" i="1"/>
  <c r="AM76" i="1"/>
  <c r="AM75" i="1"/>
  <c r="AM74" i="1"/>
  <c r="AM73" i="1"/>
  <c r="AM72" i="1"/>
  <c r="AM71" i="1"/>
  <c r="C70" i="1"/>
  <c r="AM70" i="1" s="1"/>
  <c r="AM69" i="1"/>
  <c r="AM68" i="1"/>
  <c r="AM67" i="1"/>
  <c r="AB65" i="1"/>
  <c r="AB64" i="1"/>
  <c r="AP58" i="1"/>
  <c r="AO58" i="1"/>
  <c r="C58" i="1"/>
  <c r="D58" i="1" s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O58" i="1" s="1"/>
  <c r="AO57" i="1"/>
  <c r="D57" i="1"/>
  <c r="E57" i="1" s="1"/>
  <c r="AP56" i="1"/>
  <c r="AO56" i="1"/>
  <c r="D56" i="1"/>
  <c r="AP55" i="1"/>
  <c r="AO55" i="1"/>
  <c r="D55" i="1"/>
  <c r="AP54" i="1"/>
  <c r="AO54" i="1"/>
  <c r="D54" i="1"/>
  <c r="D53" i="1"/>
  <c r="AP51" i="1"/>
  <c r="AO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C51" i="1"/>
  <c r="D51" i="1" s="1"/>
  <c r="E51" i="1" s="1"/>
  <c r="F51" i="1" s="1"/>
  <c r="G51" i="1" s="1"/>
  <c r="H51" i="1" s="1"/>
  <c r="I51" i="1" s="1"/>
  <c r="J51" i="1" s="1"/>
  <c r="K51" i="1" s="1"/>
  <c r="L51" i="1" s="1"/>
  <c r="M51" i="1" s="1"/>
  <c r="N51" i="1" s="1"/>
  <c r="AP50" i="1"/>
  <c r="AO50" i="1"/>
  <c r="D50" i="1"/>
  <c r="E50" i="1" s="1"/>
  <c r="F50" i="1" s="1"/>
  <c r="G50" i="1" s="1"/>
  <c r="H50" i="1" s="1"/>
  <c r="I50" i="1" s="1"/>
  <c r="J50" i="1" s="1"/>
  <c r="K50" i="1" s="1"/>
  <c r="L50" i="1" s="1"/>
  <c r="M50" i="1" s="1"/>
  <c r="N50" i="1" s="1"/>
  <c r="AP49" i="1"/>
  <c r="AO49" i="1"/>
  <c r="D49" i="1"/>
  <c r="E49" i="1" s="1"/>
  <c r="F49" i="1" s="1"/>
  <c r="G49" i="1" s="1"/>
  <c r="H49" i="1" s="1"/>
  <c r="I49" i="1" s="1"/>
  <c r="J49" i="1" s="1"/>
  <c r="K49" i="1" s="1"/>
  <c r="L49" i="1" s="1"/>
  <c r="M49" i="1" s="1"/>
  <c r="N49" i="1" s="1"/>
  <c r="AP48" i="1"/>
  <c r="AO48" i="1"/>
  <c r="D48" i="1"/>
  <c r="E48" i="1" s="1"/>
  <c r="F48" i="1" s="1"/>
  <c r="G48" i="1" s="1"/>
  <c r="H48" i="1" s="1"/>
  <c r="I48" i="1" s="1"/>
  <c r="J48" i="1" s="1"/>
  <c r="K48" i="1" s="1"/>
  <c r="L48" i="1" s="1"/>
  <c r="M48" i="1" s="1"/>
  <c r="N48" i="1" s="1"/>
  <c r="C47" i="1"/>
  <c r="AA46" i="1"/>
  <c r="O46" i="1"/>
  <c r="C46" i="1"/>
  <c r="D46" i="1" s="1"/>
  <c r="E46" i="1" s="1"/>
  <c r="F46" i="1" s="1"/>
  <c r="G46" i="1" s="1"/>
  <c r="H46" i="1" s="1"/>
  <c r="I46" i="1" s="1"/>
  <c r="J46" i="1" s="1"/>
  <c r="K46" i="1" s="1"/>
  <c r="L46" i="1" s="1"/>
  <c r="M46" i="1" s="1"/>
  <c r="N46" i="1" s="1"/>
  <c r="AA45" i="1"/>
  <c r="O45" i="1"/>
  <c r="C45" i="1"/>
  <c r="D45" i="1" s="1"/>
  <c r="E45" i="1" s="1"/>
  <c r="F45" i="1" s="1"/>
  <c r="G45" i="1" s="1"/>
  <c r="H45" i="1" s="1"/>
  <c r="I45" i="1" s="1"/>
  <c r="J45" i="1" s="1"/>
  <c r="K45" i="1" s="1"/>
  <c r="L45" i="1" s="1"/>
  <c r="M45" i="1" s="1"/>
  <c r="N45" i="1" s="1"/>
  <c r="AP44" i="1"/>
  <c r="AO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C44" i="1"/>
  <c r="D44" i="1" s="1"/>
  <c r="E44" i="1" s="1"/>
  <c r="F44" i="1" s="1"/>
  <c r="G44" i="1" s="1"/>
  <c r="H44" i="1" s="1"/>
  <c r="I44" i="1" s="1"/>
  <c r="J44" i="1" s="1"/>
  <c r="K44" i="1" s="1"/>
  <c r="L44" i="1" s="1"/>
  <c r="M44" i="1" s="1"/>
  <c r="N44" i="1" s="1"/>
  <c r="D43" i="1"/>
  <c r="E43" i="1" s="1"/>
  <c r="F43" i="1" s="1"/>
  <c r="G43" i="1" s="1"/>
  <c r="H43" i="1" s="1"/>
  <c r="D42" i="1"/>
  <c r="E42" i="1" s="1"/>
  <c r="F42" i="1" s="1"/>
  <c r="G42" i="1" s="1"/>
  <c r="H42" i="1" s="1"/>
  <c r="I42" i="1" s="1"/>
  <c r="J42" i="1" s="1"/>
  <c r="K42" i="1" s="1"/>
  <c r="L42" i="1" s="1"/>
  <c r="M42" i="1" s="1"/>
  <c r="N42" i="1" s="1"/>
  <c r="O42" i="1" s="1"/>
  <c r="AP41" i="1"/>
  <c r="AO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C41" i="1"/>
  <c r="AP40" i="1"/>
  <c r="AO40" i="1"/>
  <c r="D40" i="1"/>
  <c r="D39" i="1"/>
  <c r="D38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C37" i="1"/>
  <c r="D37" i="1" s="1"/>
  <c r="AP36" i="1"/>
  <c r="AO36" i="1"/>
  <c r="P36" i="1"/>
  <c r="Q36" i="1" s="1"/>
  <c r="R36" i="1" s="1"/>
  <c r="S36" i="1" s="1"/>
  <c r="T36" i="1" s="1"/>
  <c r="U36" i="1" s="1"/>
  <c r="V36" i="1" s="1"/>
  <c r="W36" i="1" s="1"/>
  <c r="X36" i="1" s="1"/>
  <c r="Y36" i="1" s="1"/>
  <c r="Z36" i="1" s="1"/>
  <c r="AA36" i="1" s="1"/>
  <c r="D36" i="1"/>
  <c r="E36" i="1" s="1"/>
  <c r="N35" i="1"/>
  <c r="AQ34" i="1"/>
  <c r="AP34" i="1"/>
  <c r="AU64" i="1" s="1"/>
  <c r="AO34" i="1"/>
  <c r="AT64" i="1" s="1"/>
  <c r="AP33" i="1"/>
  <c r="G33" i="1"/>
  <c r="H33" i="1" s="1"/>
  <c r="AP32" i="1"/>
  <c r="AO32" i="1"/>
  <c r="AN32" i="1"/>
  <c r="P32" i="1"/>
  <c r="Q32" i="1" s="1"/>
  <c r="D32" i="1"/>
  <c r="E32" i="1" s="1"/>
  <c r="F32" i="1" s="1"/>
  <c r="G32" i="1" s="1"/>
  <c r="H32" i="1" s="1"/>
  <c r="I32" i="1" s="1"/>
  <c r="J32" i="1" s="1"/>
  <c r="AT31" i="1"/>
  <c r="AM31" i="1"/>
  <c r="AB30" i="1"/>
  <c r="AB45" i="1" s="1"/>
  <c r="P30" i="1"/>
  <c r="N30" i="1"/>
  <c r="D30" i="1"/>
  <c r="E30" i="1" s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M24" i="1"/>
  <c r="L86" i="1" s="1"/>
  <c r="AM23" i="1"/>
  <c r="AP19" i="1"/>
  <c r="AO19" i="1"/>
  <c r="AN19" i="1"/>
  <c r="AM19" i="1"/>
  <c r="AP18" i="1"/>
  <c r="AO18" i="1"/>
  <c r="AN18" i="1"/>
  <c r="AM18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U16" i="1" s="1"/>
  <c r="U17" i="1" s="1"/>
  <c r="U20" i="1" s="1"/>
  <c r="T13" i="1"/>
  <c r="S13" i="1"/>
  <c r="R13" i="1"/>
  <c r="Q13" i="1"/>
  <c r="P13" i="1"/>
  <c r="O13" i="1"/>
  <c r="N13" i="1"/>
  <c r="M13" i="1"/>
  <c r="M16" i="1" s="1"/>
  <c r="M17" i="1" s="1"/>
  <c r="M20" i="1" s="1"/>
  <c r="L13" i="1"/>
  <c r="K13" i="1"/>
  <c r="J13" i="1"/>
  <c r="I13" i="1"/>
  <c r="H13" i="1"/>
  <c r="G13" i="1"/>
  <c r="F13" i="1"/>
  <c r="E13" i="1"/>
  <c r="D13" i="1"/>
  <c r="C13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AP7" i="1"/>
  <c r="AO7" i="1"/>
  <c r="AN7" i="1"/>
  <c r="AM7" i="1"/>
  <c r="AP6" i="1"/>
  <c r="AO6" i="1"/>
  <c r="AN6" i="1"/>
  <c r="AM6" i="1"/>
  <c r="AP5" i="1"/>
  <c r="AO5" i="1"/>
  <c r="AN5" i="1"/>
  <c r="AM5" i="1"/>
  <c r="P17" i="4" l="1"/>
  <c r="E5" i="12"/>
  <c r="E7" i="12" s="1"/>
  <c r="I46" i="4"/>
  <c r="I48" i="4" s="1"/>
  <c r="H46" i="4"/>
  <c r="H48" i="4" s="1"/>
  <c r="P25" i="4"/>
  <c r="G84" i="10" s="1"/>
  <c r="O18" i="4"/>
  <c r="O51" i="4" s="1"/>
  <c r="D18" i="4"/>
  <c r="P24" i="4"/>
  <c r="G83" i="10" s="1"/>
  <c r="D46" i="4"/>
  <c r="O48" i="7"/>
  <c r="P48" i="7" s="1"/>
  <c r="P46" i="7"/>
  <c r="C24" i="3" s="1"/>
  <c r="O53" i="7"/>
  <c r="AC16" i="1"/>
  <c r="AC17" i="1" s="1"/>
  <c r="AC20" i="1" s="1"/>
  <c r="AK16" i="1"/>
  <c r="AK17" i="1" s="1"/>
  <c r="AK20" i="1" s="1"/>
  <c r="AM14" i="2"/>
  <c r="N16" i="1"/>
  <c r="N17" i="1" s="1"/>
  <c r="N20" i="1" s="1"/>
  <c r="N26" i="1" s="1"/>
  <c r="AD16" i="1"/>
  <c r="AD17" i="1" s="1"/>
  <c r="AD20" i="1" s="1"/>
  <c r="AL16" i="1"/>
  <c r="AL17" i="1" s="1"/>
  <c r="AL20" i="1" s="1"/>
  <c r="F16" i="1"/>
  <c r="F17" i="1" s="1"/>
  <c r="F20" i="1" s="1"/>
  <c r="F26" i="1" s="1"/>
  <c r="G16" i="1"/>
  <c r="G17" i="1" s="1"/>
  <c r="G20" i="1" s="1"/>
  <c r="G26" i="1" s="1"/>
  <c r="O16" i="1"/>
  <c r="O17" i="1" s="1"/>
  <c r="W16" i="1"/>
  <c r="W17" i="1" s="1"/>
  <c r="W20" i="1" s="1"/>
  <c r="AE16" i="1"/>
  <c r="AE17" i="1" s="1"/>
  <c r="AE20" i="1" s="1"/>
  <c r="AE52" i="1" s="1"/>
  <c r="Z101" i="1"/>
  <c r="H16" i="1"/>
  <c r="H17" i="1" s="1"/>
  <c r="H20" i="1" s="1"/>
  <c r="H26" i="1" s="1"/>
  <c r="P16" i="1"/>
  <c r="P17" i="1" s="1"/>
  <c r="P20" i="1" s="1"/>
  <c r="X16" i="1"/>
  <c r="X17" i="1" s="1"/>
  <c r="X20" i="1" s="1"/>
  <c r="AF16" i="1"/>
  <c r="AF17" i="1" s="1"/>
  <c r="AF20" i="1" s="1"/>
  <c r="AF52" i="1" s="1"/>
  <c r="G48" i="4"/>
  <c r="G51" i="4"/>
  <c r="H51" i="4"/>
  <c r="J21" i="4"/>
  <c r="J46" i="4" s="1"/>
  <c r="M26" i="1"/>
  <c r="L92" i="2"/>
  <c r="AM34" i="2"/>
  <c r="AR34" i="2" s="1"/>
  <c r="AO15" i="1"/>
  <c r="V16" i="1"/>
  <c r="V17" i="1" s="1"/>
  <c r="V20" i="1" s="1"/>
  <c r="V52" i="1" s="1"/>
  <c r="Z16" i="1"/>
  <c r="Z17" i="1" s="1"/>
  <c r="Z20" i="1" s="1"/>
  <c r="R16" i="1"/>
  <c r="R17" i="1" s="1"/>
  <c r="R20" i="1" s="1"/>
  <c r="AO14" i="1"/>
  <c r="AP15" i="1"/>
  <c r="AT15" i="1" s="1"/>
  <c r="AU15" i="1" s="1"/>
  <c r="AP38" i="1"/>
  <c r="AU67" i="1" s="1"/>
  <c r="AH16" i="1"/>
  <c r="AH17" i="1" s="1"/>
  <c r="AH20" i="1" s="1"/>
  <c r="AH52" i="1" s="1"/>
  <c r="AO8" i="1"/>
  <c r="R86" i="1"/>
  <c r="AQ31" i="1"/>
  <c r="D123" i="1"/>
  <c r="AM37" i="2"/>
  <c r="J16" i="1"/>
  <c r="J17" i="1" s="1"/>
  <c r="J20" i="1" s="1"/>
  <c r="J26" i="1" s="1"/>
  <c r="AN38" i="2"/>
  <c r="AS12" i="2"/>
  <c r="AS11" i="2"/>
  <c r="AN8" i="1"/>
  <c r="AP8" i="1"/>
  <c r="AM15" i="1"/>
  <c r="AC30" i="1"/>
  <c r="AD30" i="1" s="1"/>
  <c r="E106" i="1"/>
  <c r="J108" i="1"/>
  <c r="I108" i="1"/>
  <c r="E119" i="1"/>
  <c r="E123" i="1" s="1"/>
  <c r="AM42" i="2"/>
  <c r="AM41" i="2"/>
  <c r="F121" i="2"/>
  <c r="L91" i="2"/>
  <c r="AQ13" i="2"/>
  <c r="N9" i="1"/>
  <c r="AP13" i="1"/>
  <c r="AT13" i="1" s="1"/>
  <c r="AU13" i="1" s="1"/>
  <c r="AN14" i="1"/>
  <c r="K16" i="1"/>
  <c r="K17" i="1" s="1"/>
  <c r="K20" i="1" s="1"/>
  <c r="K26" i="1" s="1"/>
  <c r="S16" i="1"/>
  <c r="S17" i="1" s="1"/>
  <c r="S20" i="1" s="1"/>
  <c r="AA16" i="1"/>
  <c r="AA17" i="1" s="1"/>
  <c r="AI16" i="1"/>
  <c r="AI17" i="1" s="1"/>
  <c r="AI20" i="1" s="1"/>
  <c r="AI52" i="1" s="1"/>
  <c r="L106" i="1"/>
  <c r="C79" i="1"/>
  <c r="G109" i="1"/>
  <c r="H112" i="1" s="1"/>
  <c r="AT31" i="2"/>
  <c r="AN42" i="2"/>
  <c r="AQ41" i="2" s="1"/>
  <c r="AM39" i="2"/>
  <c r="AN35" i="2"/>
  <c r="AN43" i="2"/>
  <c r="D16" i="1"/>
  <c r="D17" i="1" s="1"/>
  <c r="D20" i="1" s="1"/>
  <c r="D26" i="1" s="1"/>
  <c r="L16" i="1"/>
  <c r="L17" i="1" s="1"/>
  <c r="L20" i="1" s="1"/>
  <c r="L26" i="1" s="1"/>
  <c r="T16" i="1"/>
  <c r="T17" i="1" s="1"/>
  <c r="T20" i="1" s="1"/>
  <c r="T26" i="1" s="1"/>
  <c r="AB16" i="1"/>
  <c r="AB17" i="1" s="1"/>
  <c r="AB20" i="1" s="1"/>
  <c r="AB52" i="1" s="1"/>
  <c r="AJ16" i="1"/>
  <c r="AJ17" i="1" s="1"/>
  <c r="AJ20" i="1" s="1"/>
  <c r="AJ52" i="1" s="1"/>
  <c r="C135" i="1"/>
  <c r="AQ52" i="2"/>
  <c r="AN40" i="2"/>
  <c r="AQ39" i="2" s="1"/>
  <c r="AN32" i="2"/>
  <c r="AS62" i="2" s="1"/>
  <c r="AP35" i="2"/>
  <c r="AN13" i="1"/>
  <c r="I16" i="1"/>
  <c r="I17" i="1" s="1"/>
  <c r="I20" i="1" s="1"/>
  <c r="I26" i="1" s="1"/>
  <c r="Q16" i="1"/>
  <c r="Q17" i="1" s="1"/>
  <c r="Q20" i="1" s="1"/>
  <c r="Y16" i="1"/>
  <c r="Y17" i="1" s="1"/>
  <c r="Y20" i="1" s="1"/>
  <c r="AG16" i="1"/>
  <c r="AG17" i="1" s="1"/>
  <c r="AG20" i="1" s="1"/>
  <c r="O106" i="1"/>
  <c r="AO52" i="1"/>
  <c r="AQ54" i="2"/>
  <c r="L106" i="2"/>
  <c r="L96" i="2"/>
  <c r="O95" i="2"/>
  <c r="L94" i="2"/>
  <c r="AN37" i="2"/>
  <c r="D50" i="6"/>
  <c r="D52" i="6" s="1"/>
  <c r="E37" i="6"/>
  <c r="P16" i="4"/>
  <c r="K22" i="4"/>
  <c r="O33" i="6"/>
  <c r="O29" i="6"/>
  <c r="O27" i="6"/>
  <c r="E36" i="6"/>
  <c r="F37" i="6"/>
  <c r="F36" i="6"/>
  <c r="G22" i="6"/>
  <c r="AT58" i="2"/>
  <c r="AO24" i="2"/>
  <c r="AO25" i="2" s="1"/>
  <c r="AN48" i="2"/>
  <c r="AM46" i="2"/>
  <c r="V99" i="2"/>
  <c r="AQ53" i="2"/>
  <c r="AS13" i="2"/>
  <c r="AQ12" i="2"/>
  <c r="Y24" i="2"/>
  <c r="AS66" i="2"/>
  <c r="AG24" i="2"/>
  <c r="AQ49" i="2"/>
  <c r="AN47" i="2"/>
  <c r="L87" i="2"/>
  <c r="AM47" i="2"/>
  <c r="AS63" i="2"/>
  <c r="AQ33" i="2"/>
  <c r="L97" i="2"/>
  <c r="AB40" i="2"/>
  <c r="AC40" i="2" s="1"/>
  <c r="AD40" i="2" s="1"/>
  <c r="AE40" i="2" s="1"/>
  <c r="AF40" i="2" s="1"/>
  <c r="AG40" i="2" s="1"/>
  <c r="AH40" i="2" s="1"/>
  <c r="AI40" i="2" s="1"/>
  <c r="AJ40" i="2" s="1"/>
  <c r="AK40" i="2" s="1"/>
  <c r="AL40" i="2" s="1"/>
  <c r="AI24" i="2"/>
  <c r="Q24" i="2"/>
  <c r="L102" i="2"/>
  <c r="N30" i="2"/>
  <c r="AM30" i="2" s="1"/>
  <c r="L100" i="2"/>
  <c r="AN46" i="2"/>
  <c r="AM51" i="2"/>
  <c r="AO41" i="2"/>
  <c r="AQ34" i="2"/>
  <c r="AA18" i="2"/>
  <c r="AM18" i="2" s="1"/>
  <c r="AP15" i="2"/>
  <c r="E56" i="2"/>
  <c r="AD44" i="2"/>
  <c r="AE28" i="2"/>
  <c r="AD43" i="2"/>
  <c r="AP24" i="2"/>
  <c r="AP25" i="2" s="1"/>
  <c r="Q44" i="2"/>
  <c r="R28" i="2"/>
  <c r="Q43" i="2"/>
  <c r="X103" i="2"/>
  <c r="AQ22" i="2"/>
  <c r="AN52" i="2"/>
  <c r="AM31" i="2"/>
  <c r="AS32" i="2" s="1"/>
  <c r="G28" i="2"/>
  <c r="F35" i="2"/>
  <c r="AQ11" i="2"/>
  <c r="AM38" i="2"/>
  <c r="O83" i="2"/>
  <c r="AO19" i="2"/>
  <c r="O24" i="2"/>
  <c r="AM15" i="2"/>
  <c r="AN14" i="2" s="1"/>
  <c r="R89" i="2"/>
  <c r="AQ48" i="2"/>
  <c r="L101" i="2"/>
  <c r="AQ23" i="2"/>
  <c r="P36" i="2"/>
  <c r="AN39" i="2"/>
  <c r="AO15" i="2"/>
  <c r="AN15" i="2"/>
  <c r="AM45" i="2"/>
  <c r="L93" i="2"/>
  <c r="C50" i="2"/>
  <c r="L83" i="2"/>
  <c r="C24" i="2"/>
  <c r="AN19" i="2"/>
  <c r="AK52" i="1"/>
  <c r="AK26" i="1"/>
  <c r="AB36" i="1"/>
  <c r="AC36" i="1" s="1"/>
  <c r="AD36" i="1" s="1"/>
  <c r="AE36" i="1" s="1"/>
  <c r="AF36" i="1" s="1"/>
  <c r="AG36" i="1" s="1"/>
  <c r="AH36" i="1" s="1"/>
  <c r="AI36" i="1" s="1"/>
  <c r="AJ36" i="1" s="1"/>
  <c r="AK36" i="1" s="1"/>
  <c r="AL36" i="1" s="1"/>
  <c r="V26" i="1"/>
  <c r="AD52" i="1"/>
  <c r="AD26" i="1"/>
  <c r="AL52" i="1"/>
  <c r="AL26" i="1"/>
  <c r="P42" i="1"/>
  <c r="Q42" i="1" s="1"/>
  <c r="R42" i="1" s="1"/>
  <c r="S42" i="1" s="1"/>
  <c r="T42" i="1" s="1"/>
  <c r="U42" i="1" s="1"/>
  <c r="V42" i="1" s="1"/>
  <c r="W42" i="1" s="1"/>
  <c r="X42" i="1" s="1"/>
  <c r="Y42" i="1" s="1"/>
  <c r="Z42" i="1" s="1"/>
  <c r="AA42" i="1" s="1"/>
  <c r="AC52" i="1"/>
  <c r="AC26" i="1"/>
  <c r="O20" i="1"/>
  <c r="P52" i="1"/>
  <c r="P26" i="1"/>
  <c r="Q52" i="1"/>
  <c r="Q26" i="1"/>
  <c r="W52" i="1"/>
  <c r="W26" i="1"/>
  <c r="S52" i="1"/>
  <c r="S26" i="1"/>
  <c r="X52" i="1"/>
  <c r="X26" i="1"/>
  <c r="Z52" i="1"/>
  <c r="Z26" i="1"/>
  <c r="AH26" i="1"/>
  <c r="Y26" i="1"/>
  <c r="Y52" i="1"/>
  <c r="AF26" i="1"/>
  <c r="T52" i="1"/>
  <c r="U52" i="1"/>
  <c r="U26" i="1"/>
  <c r="AG52" i="1"/>
  <c r="AG26" i="1"/>
  <c r="AA20" i="1"/>
  <c r="R52" i="1"/>
  <c r="R26" i="1"/>
  <c r="K32" i="1"/>
  <c r="L32" i="1" s="1"/>
  <c r="P46" i="1"/>
  <c r="P45" i="1"/>
  <c r="Q30" i="1"/>
  <c r="I33" i="1"/>
  <c r="J33" i="1" s="1"/>
  <c r="E40" i="1"/>
  <c r="F40" i="1" s="1"/>
  <c r="G40" i="1" s="1"/>
  <c r="H40" i="1" s="1"/>
  <c r="I40" i="1" s="1"/>
  <c r="J40" i="1" s="1"/>
  <c r="K40" i="1" s="1"/>
  <c r="L40" i="1" s="1"/>
  <c r="M40" i="1" s="1"/>
  <c r="N40" i="1" s="1"/>
  <c r="L104" i="1"/>
  <c r="AM8" i="1"/>
  <c r="AP14" i="1"/>
  <c r="AT14" i="1" s="1"/>
  <c r="AU14" i="1" s="1"/>
  <c r="AO42" i="1"/>
  <c r="C16" i="1"/>
  <c r="C17" i="1" s="1"/>
  <c r="R96" i="1"/>
  <c r="AP42" i="1"/>
  <c r="P58" i="1"/>
  <c r="Q58" i="1" s="1"/>
  <c r="R58" i="1" s="1"/>
  <c r="S58" i="1" s="1"/>
  <c r="T58" i="1" s="1"/>
  <c r="U58" i="1" s="1"/>
  <c r="V58" i="1" s="1"/>
  <c r="W58" i="1" s="1"/>
  <c r="X58" i="1" s="1"/>
  <c r="Y58" i="1" s="1"/>
  <c r="Z58" i="1" s="1"/>
  <c r="AA58" i="1" s="1"/>
  <c r="AM13" i="1"/>
  <c r="E38" i="1"/>
  <c r="F38" i="1" s="1"/>
  <c r="G38" i="1" s="1"/>
  <c r="H38" i="1" s="1"/>
  <c r="I38" i="1" s="1"/>
  <c r="J38" i="1" s="1"/>
  <c r="K38" i="1" s="1"/>
  <c r="L38" i="1" s="1"/>
  <c r="M38" i="1" s="1"/>
  <c r="N38" i="1" s="1"/>
  <c r="O38" i="1" s="1"/>
  <c r="AO13" i="1"/>
  <c r="E16" i="1"/>
  <c r="E17" i="1" s="1"/>
  <c r="E20" i="1" s="1"/>
  <c r="E26" i="1" s="1"/>
  <c r="AM24" i="1"/>
  <c r="AQ25" i="1" s="1"/>
  <c r="F30" i="1"/>
  <c r="E39" i="1"/>
  <c r="F39" i="1" s="1"/>
  <c r="G39" i="1" s="1"/>
  <c r="H39" i="1" s="1"/>
  <c r="I39" i="1" s="1"/>
  <c r="J39" i="1" s="1"/>
  <c r="K39" i="1" s="1"/>
  <c r="L39" i="1" s="1"/>
  <c r="M39" i="1" s="1"/>
  <c r="N39" i="1" s="1"/>
  <c r="O86" i="1"/>
  <c r="AO25" i="1"/>
  <c r="AC46" i="1"/>
  <c r="E37" i="1"/>
  <c r="D41" i="1"/>
  <c r="E41" i="1" s="1"/>
  <c r="F41" i="1" s="1"/>
  <c r="G41" i="1" s="1"/>
  <c r="H41" i="1" s="1"/>
  <c r="I41" i="1" s="1"/>
  <c r="J41" i="1" s="1"/>
  <c r="K41" i="1" s="1"/>
  <c r="L41" i="1" s="1"/>
  <c r="M41" i="1" s="1"/>
  <c r="N41" i="1" s="1"/>
  <c r="F57" i="1"/>
  <c r="G57" i="1" s="1"/>
  <c r="H57" i="1" s="1"/>
  <c r="I57" i="1" s="1"/>
  <c r="J57" i="1" s="1"/>
  <c r="K57" i="1" s="1"/>
  <c r="L57" i="1" s="1"/>
  <c r="M57" i="1" s="1"/>
  <c r="N57" i="1" s="1"/>
  <c r="AM25" i="1"/>
  <c r="AU65" i="1"/>
  <c r="AN43" i="1"/>
  <c r="AN15" i="1"/>
  <c r="AM14" i="1"/>
  <c r="AN25" i="1"/>
  <c r="R32" i="1"/>
  <c r="S32" i="1" s="1"/>
  <c r="T32" i="1" s="1"/>
  <c r="U32" i="1" s="1"/>
  <c r="V32" i="1" s="1"/>
  <c r="W32" i="1" s="1"/>
  <c r="X32" i="1" s="1"/>
  <c r="Y32" i="1" s="1"/>
  <c r="Z32" i="1" s="1"/>
  <c r="O91" i="1"/>
  <c r="I43" i="1"/>
  <c r="J43" i="1" s="1"/>
  <c r="K43" i="1" s="1"/>
  <c r="L43" i="1" s="1"/>
  <c r="M43" i="1" s="1"/>
  <c r="N43" i="1" s="1"/>
  <c r="F36" i="1"/>
  <c r="G36" i="1" s="1"/>
  <c r="H36" i="1" s="1"/>
  <c r="I36" i="1" s="1"/>
  <c r="J36" i="1" s="1"/>
  <c r="K36" i="1" s="1"/>
  <c r="L36" i="1" s="1"/>
  <c r="M36" i="1" s="1"/>
  <c r="N36" i="1" s="1"/>
  <c r="AP25" i="1"/>
  <c r="L90" i="1"/>
  <c r="AM35" i="1"/>
  <c r="AN36" i="1"/>
  <c r="L113" i="1"/>
  <c r="L99" i="1"/>
  <c r="AP45" i="1"/>
  <c r="AN45" i="1"/>
  <c r="AB46" i="1"/>
  <c r="D47" i="1"/>
  <c r="E47" i="1" s="1"/>
  <c r="F47" i="1" s="1"/>
  <c r="G47" i="1" s="1"/>
  <c r="H47" i="1" s="1"/>
  <c r="I47" i="1" s="1"/>
  <c r="J47" i="1" s="1"/>
  <c r="K47" i="1" s="1"/>
  <c r="L47" i="1" s="1"/>
  <c r="M47" i="1" s="1"/>
  <c r="N47" i="1" s="1"/>
  <c r="E53" i="1"/>
  <c r="F53" i="1" s="1"/>
  <c r="G53" i="1" s="1"/>
  <c r="H53" i="1" s="1"/>
  <c r="I53" i="1" s="1"/>
  <c r="J53" i="1" s="1"/>
  <c r="K53" i="1" s="1"/>
  <c r="L53" i="1" s="1"/>
  <c r="M53" i="1" s="1"/>
  <c r="N53" i="1" s="1"/>
  <c r="AM79" i="1"/>
  <c r="AN72" i="1" s="1"/>
  <c r="R99" i="1"/>
  <c r="V103" i="1"/>
  <c r="AN46" i="1"/>
  <c r="L103" i="1"/>
  <c r="L97" i="1"/>
  <c r="D113" i="1"/>
  <c r="D124" i="1" s="1"/>
  <c r="D132" i="1" s="1"/>
  <c r="AN47" i="1"/>
  <c r="AP52" i="1"/>
  <c r="E113" i="1"/>
  <c r="E124" i="1" s="1"/>
  <c r="E132" i="1" s="1"/>
  <c r="I107" i="1"/>
  <c r="O96" i="1"/>
  <c r="AN50" i="1"/>
  <c r="O92" i="1"/>
  <c r="V101" i="1"/>
  <c r="AO37" i="1"/>
  <c r="AO38" i="1"/>
  <c r="AT67" i="1" s="1"/>
  <c r="O99" i="1"/>
  <c r="AO45" i="1"/>
  <c r="AM44" i="1"/>
  <c r="L105" i="1"/>
  <c r="AT65" i="1"/>
  <c r="L91" i="1"/>
  <c r="R92" i="1"/>
  <c r="AN51" i="1"/>
  <c r="AM48" i="1"/>
  <c r="AM49" i="1"/>
  <c r="AM50" i="1"/>
  <c r="H102" i="1"/>
  <c r="I102" i="1" s="1"/>
  <c r="J102" i="1" s="1"/>
  <c r="X103" i="1"/>
  <c r="R106" i="1"/>
  <c r="AN49" i="1"/>
  <c r="AM51" i="1"/>
  <c r="AN59" i="1"/>
  <c r="AN52" i="1"/>
  <c r="E54" i="1"/>
  <c r="E55" i="1"/>
  <c r="E56" i="1"/>
  <c r="F56" i="1" s="1"/>
  <c r="G56" i="1" s="1"/>
  <c r="H56" i="1" s="1"/>
  <c r="I56" i="1" s="1"/>
  <c r="J56" i="1" s="1"/>
  <c r="K56" i="1" s="1"/>
  <c r="L56" i="1" s="1"/>
  <c r="M56" i="1" s="1"/>
  <c r="N56" i="1" s="1"/>
  <c r="I13" i="12" l="1"/>
  <c r="I19" i="12"/>
  <c r="E19" i="12"/>
  <c r="E13" i="12"/>
  <c r="O12" i="13"/>
  <c r="O34" i="13" s="1"/>
  <c r="N34" i="13"/>
  <c r="O6" i="13" s="1"/>
  <c r="D48" i="4"/>
  <c r="D53" i="4" s="1"/>
  <c r="E53" i="4" s="1"/>
  <c r="F53" i="4" s="1"/>
  <c r="G53" i="4" s="1"/>
  <c r="H53" i="4" s="1"/>
  <c r="I53" i="4" s="1"/>
  <c r="J53" i="4" s="1"/>
  <c r="AE26" i="1"/>
  <c r="AO17" i="1"/>
  <c r="AQ37" i="2"/>
  <c r="AP17" i="1"/>
  <c r="K21" i="4"/>
  <c r="K46" i="4" s="1"/>
  <c r="J48" i="4"/>
  <c r="AQ51" i="2"/>
  <c r="AS51" i="2"/>
  <c r="AN54" i="1"/>
  <c r="AB26" i="1"/>
  <c r="AM43" i="1"/>
  <c r="AI26" i="1"/>
  <c r="F123" i="1"/>
  <c r="AQ38" i="2"/>
  <c r="AM40" i="2"/>
  <c r="O88" i="1"/>
  <c r="N80" i="2"/>
  <c r="AQ42" i="2"/>
  <c r="AC45" i="1"/>
  <c r="AJ26" i="1"/>
  <c r="AS14" i="2"/>
  <c r="AQ15" i="1"/>
  <c r="AQ13" i="1"/>
  <c r="AQ50" i="1"/>
  <c r="AN48" i="1"/>
  <c r="AN57" i="1"/>
  <c r="AP37" i="1"/>
  <c r="AN58" i="1"/>
  <c r="O97" i="1"/>
  <c r="AO33" i="1"/>
  <c r="L96" i="1"/>
  <c r="AM39" i="1"/>
  <c r="AN41" i="1"/>
  <c r="AQ49" i="1"/>
  <c r="AM53" i="1"/>
  <c r="AM56" i="1"/>
  <c r="AQ31" i="2"/>
  <c r="E50" i="6"/>
  <c r="E52" i="6" s="1"/>
  <c r="L22" i="4"/>
  <c r="F50" i="6"/>
  <c r="F52" i="6" s="1"/>
  <c r="G36" i="6"/>
  <c r="G37" i="6"/>
  <c r="H22" i="6"/>
  <c r="Q36" i="2"/>
  <c r="AT57" i="2"/>
  <c r="AT59" i="2" s="1"/>
  <c r="AO20" i="2"/>
  <c r="AO21" i="2" s="1"/>
  <c r="AT23" i="2"/>
  <c r="AO14" i="2"/>
  <c r="AO9" i="2"/>
  <c r="AO8" i="2" s="1"/>
  <c r="R44" i="2"/>
  <c r="S28" i="2"/>
  <c r="R43" i="2"/>
  <c r="AN31" i="2"/>
  <c r="AP41" i="2"/>
  <c r="AQ40" i="2" s="1"/>
  <c r="AO28" i="2"/>
  <c r="Y100" i="2"/>
  <c r="Y99" i="2"/>
  <c r="R95" i="2"/>
  <c r="AQ46" i="2"/>
  <c r="AM24" i="2"/>
  <c r="L86" i="2"/>
  <c r="H28" i="2"/>
  <c r="Y101" i="2"/>
  <c r="AF28" i="2"/>
  <c r="AE43" i="2"/>
  <c r="AE44" i="2"/>
  <c r="AQ45" i="2"/>
  <c r="AN28" i="2"/>
  <c r="R83" i="2"/>
  <c r="Q80" i="2" s="1"/>
  <c r="AA24" i="2"/>
  <c r="AP19" i="2"/>
  <c r="AQ18" i="2" s="1"/>
  <c r="G35" i="2"/>
  <c r="H35" i="2" s="1"/>
  <c r="I35" i="2" s="1"/>
  <c r="J35" i="2" s="1"/>
  <c r="K35" i="2" s="1"/>
  <c r="L35" i="2" s="1"/>
  <c r="AS57" i="2"/>
  <c r="AN9" i="2"/>
  <c r="AN8" i="2" s="1"/>
  <c r="AS23" i="2"/>
  <c r="D50" i="2"/>
  <c r="C57" i="2"/>
  <c r="C59" i="2" s="1"/>
  <c r="C60" i="2" s="1"/>
  <c r="C62" i="2"/>
  <c r="C63" i="2" s="1"/>
  <c r="F56" i="2"/>
  <c r="AQ47" i="2"/>
  <c r="P38" i="1"/>
  <c r="R85" i="1"/>
  <c r="AA26" i="1"/>
  <c r="AP21" i="1"/>
  <c r="AA52" i="1"/>
  <c r="AQ48" i="1"/>
  <c r="L89" i="1"/>
  <c r="L102" i="1"/>
  <c r="AN37" i="1"/>
  <c r="F37" i="1"/>
  <c r="AN34" i="1"/>
  <c r="M32" i="1"/>
  <c r="AQ53" i="1"/>
  <c r="AS65" i="1"/>
  <c r="AQ35" i="1"/>
  <c r="G30" i="1"/>
  <c r="AN39" i="1"/>
  <c r="AT33" i="1"/>
  <c r="Q46" i="1"/>
  <c r="R30" i="1"/>
  <c r="Q45" i="1"/>
  <c r="X105" i="1"/>
  <c r="Y103" i="1" s="1"/>
  <c r="AN44" i="1"/>
  <c r="AQ43" i="1" s="1"/>
  <c r="L93" i="1"/>
  <c r="O52" i="1"/>
  <c r="O59" i="1" s="1"/>
  <c r="O85" i="1"/>
  <c r="O26" i="1"/>
  <c r="AO21" i="1"/>
  <c r="AT60" i="1"/>
  <c r="AO26" i="1"/>
  <c r="AO27" i="1" s="1"/>
  <c r="F55" i="1"/>
  <c r="AQ44" i="1"/>
  <c r="AM16" i="1"/>
  <c r="AS15" i="1" s="1"/>
  <c r="C20" i="1"/>
  <c r="AM17" i="1"/>
  <c r="AN16" i="1" s="1"/>
  <c r="AN17" i="1"/>
  <c r="AM40" i="1"/>
  <c r="F54" i="1"/>
  <c r="G54" i="1" s="1"/>
  <c r="H54" i="1" s="1"/>
  <c r="I54" i="1" s="1"/>
  <c r="J54" i="1" s="1"/>
  <c r="K54" i="1" s="1"/>
  <c r="L54" i="1" s="1"/>
  <c r="M54" i="1" s="1"/>
  <c r="N54" i="1" s="1"/>
  <c r="AB58" i="1"/>
  <c r="R91" i="1"/>
  <c r="AQ51" i="1"/>
  <c r="AS68" i="1"/>
  <c r="L108" i="1"/>
  <c r="AM41" i="1"/>
  <c r="AD45" i="1"/>
  <c r="AD46" i="1"/>
  <c r="AE30" i="1"/>
  <c r="AN40" i="1"/>
  <c r="AQ39" i="1" s="1"/>
  <c r="AO59" i="1"/>
  <c r="AM36" i="1"/>
  <c r="AR36" i="1" s="1"/>
  <c r="L95" i="1"/>
  <c r="AQ14" i="1"/>
  <c r="AB42" i="1"/>
  <c r="L112" i="1"/>
  <c r="AM47" i="1"/>
  <c r="L98" i="1"/>
  <c r="AU60" i="1"/>
  <c r="AP26" i="1"/>
  <c r="AP27" i="1" s="1"/>
  <c r="AS60" i="1"/>
  <c r="AQ24" i="1"/>
  <c r="AN42" i="1"/>
  <c r="L94" i="1"/>
  <c r="O113" i="1"/>
  <c r="AM33" i="1"/>
  <c r="AS34" i="1" s="1"/>
  <c r="AO43" i="1"/>
  <c r="K53" i="4" l="1"/>
  <c r="L21" i="4"/>
  <c r="L46" i="4" s="1"/>
  <c r="K48" i="4"/>
  <c r="AQ40" i="1"/>
  <c r="AQ47" i="1"/>
  <c r="AN55" i="1"/>
  <c r="AQ56" i="1"/>
  <c r="AQ41" i="1"/>
  <c r="AM54" i="1"/>
  <c r="AO7" i="2"/>
  <c r="M22" i="4"/>
  <c r="G50" i="6"/>
  <c r="G52" i="6" s="1"/>
  <c r="H36" i="6"/>
  <c r="I22" i="6"/>
  <c r="H37" i="6"/>
  <c r="AN25" i="2"/>
  <c r="AQ30" i="2"/>
  <c r="R36" i="2"/>
  <c r="G56" i="2"/>
  <c r="H56" i="2" s="1"/>
  <c r="I56" i="2" s="1"/>
  <c r="J56" i="2" s="1"/>
  <c r="K56" i="2" s="1"/>
  <c r="L56" i="2" s="1"/>
  <c r="M56" i="2" s="1"/>
  <c r="N56" i="2" s="1"/>
  <c r="O56" i="2" s="1"/>
  <c r="M35" i="2"/>
  <c r="E50" i="2"/>
  <c r="D57" i="2"/>
  <c r="D59" i="2" s="1"/>
  <c r="D60" i="2" s="1"/>
  <c r="D62" i="2"/>
  <c r="AF43" i="2"/>
  <c r="AF44" i="2"/>
  <c r="AG28" i="2"/>
  <c r="I28" i="2"/>
  <c r="AS59" i="2"/>
  <c r="J107" i="2"/>
  <c r="I107" i="2"/>
  <c r="S44" i="2"/>
  <c r="T28" i="2"/>
  <c r="S43" i="2"/>
  <c r="AP20" i="2"/>
  <c r="AP21" i="2" s="1"/>
  <c r="AP9" i="2"/>
  <c r="AP8" i="2" s="1"/>
  <c r="AP7" i="2" s="1"/>
  <c r="AU57" i="2"/>
  <c r="AU23" i="2"/>
  <c r="AP14" i="2"/>
  <c r="AP28" i="2"/>
  <c r="L85" i="1"/>
  <c r="N82" i="1" s="1"/>
  <c r="C26" i="1"/>
  <c r="C52" i="1"/>
  <c r="AM20" i="1"/>
  <c r="AN21" i="1"/>
  <c r="AO22" i="1" s="1"/>
  <c r="AO23" i="1" s="1"/>
  <c r="O61" i="1"/>
  <c r="AO30" i="1"/>
  <c r="L110" i="1"/>
  <c r="AT59" i="1"/>
  <c r="AT61" i="1" s="1"/>
  <c r="AT25" i="1"/>
  <c r="AS64" i="1"/>
  <c r="AQ33" i="1"/>
  <c r="AC58" i="1"/>
  <c r="AD58" i="1" s="1"/>
  <c r="AE58" i="1" s="1"/>
  <c r="AF58" i="1" s="1"/>
  <c r="AG58" i="1" s="1"/>
  <c r="AH58" i="1" s="1"/>
  <c r="AI58" i="1" s="1"/>
  <c r="AJ58" i="1" s="1"/>
  <c r="AK58" i="1" s="1"/>
  <c r="AL58" i="1" s="1"/>
  <c r="Q82" i="1"/>
  <c r="AP53" i="1"/>
  <c r="R107" i="1"/>
  <c r="G55" i="1"/>
  <c r="H55" i="1" s="1"/>
  <c r="I55" i="1" s="1"/>
  <c r="J55" i="1" s="1"/>
  <c r="K55" i="1" s="1"/>
  <c r="L55" i="1" s="1"/>
  <c r="M55" i="1" s="1"/>
  <c r="N55" i="1" s="1"/>
  <c r="AC42" i="1"/>
  <c r="AD42" i="1" s="1"/>
  <c r="AE42" i="1" s="1"/>
  <c r="AF42" i="1" s="1"/>
  <c r="AG42" i="1" s="1"/>
  <c r="AH42" i="1" s="1"/>
  <c r="AI42" i="1" s="1"/>
  <c r="AJ42" i="1" s="1"/>
  <c r="AK42" i="1" s="1"/>
  <c r="AL42" i="1" s="1"/>
  <c r="AS13" i="1"/>
  <c r="O107" i="1"/>
  <c r="AO53" i="1"/>
  <c r="AO63" i="1" s="1"/>
  <c r="G37" i="1"/>
  <c r="H37" i="1" s="1"/>
  <c r="I37" i="1" s="1"/>
  <c r="J37" i="1" s="1"/>
  <c r="K37" i="1" s="1"/>
  <c r="L37" i="1" s="1"/>
  <c r="AU59" i="1"/>
  <c r="AU25" i="1"/>
  <c r="AP22" i="1"/>
  <c r="AP23" i="1" s="1"/>
  <c r="AP16" i="1"/>
  <c r="AS14" i="1"/>
  <c r="H30" i="1"/>
  <c r="AP30" i="1"/>
  <c r="AQ36" i="1"/>
  <c r="AF30" i="1"/>
  <c r="AE45" i="1"/>
  <c r="AE46" i="1"/>
  <c r="R46" i="1"/>
  <c r="S30" i="1"/>
  <c r="R45" i="1"/>
  <c r="N32" i="1"/>
  <c r="AN33" i="1" s="1"/>
  <c r="Q38" i="1"/>
  <c r="P59" i="1"/>
  <c r="P61" i="1" s="1"/>
  <c r="Y101" i="1"/>
  <c r="Y102" i="1"/>
  <c r="AQ54" i="1"/>
  <c r="AM55" i="1"/>
  <c r="AM42" i="1" l="1"/>
  <c r="L53" i="4"/>
  <c r="M21" i="4"/>
  <c r="M46" i="4" s="1"/>
  <c r="L48" i="4"/>
  <c r="L88" i="1"/>
  <c r="AM58" i="1"/>
  <c r="AM32" i="1"/>
  <c r="AQ32" i="1" s="1"/>
  <c r="L111" i="1"/>
  <c r="AN56" i="1"/>
  <c r="AQ55" i="1" s="1"/>
  <c r="N22" i="4"/>
  <c r="H50" i="6"/>
  <c r="H52" i="6" s="1"/>
  <c r="I36" i="6"/>
  <c r="J22" i="6"/>
  <c r="I37" i="6"/>
  <c r="AN57" i="2"/>
  <c r="L111" i="2"/>
  <c r="AU82" i="2"/>
  <c r="AU59" i="2"/>
  <c r="T44" i="2"/>
  <c r="U28" i="2"/>
  <c r="T43" i="2"/>
  <c r="J28" i="2"/>
  <c r="P56" i="2"/>
  <c r="F50" i="2"/>
  <c r="E57" i="2"/>
  <c r="E59" i="2" s="1"/>
  <c r="E60" i="2" s="1"/>
  <c r="E62" i="2"/>
  <c r="S36" i="2"/>
  <c r="AG44" i="2"/>
  <c r="AH28" i="2"/>
  <c r="AG43" i="2"/>
  <c r="N35" i="2"/>
  <c r="AN36" i="2" s="1"/>
  <c r="AF46" i="1"/>
  <c r="AF45" i="1"/>
  <c r="AG30" i="1"/>
  <c r="D52" i="1"/>
  <c r="C59" i="1"/>
  <c r="AU84" i="1"/>
  <c r="AU61" i="1"/>
  <c r="AN30" i="1"/>
  <c r="I30" i="1"/>
  <c r="R38" i="1"/>
  <c r="Q59" i="1"/>
  <c r="Q61" i="1" s="1"/>
  <c r="R97" i="1"/>
  <c r="AS16" i="1"/>
  <c r="AO16" i="1"/>
  <c r="S46" i="1"/>
  <c r="S45" i="1"/>
  <c r="T30" i="1"/>
  <c r="M37" i="1"/>
  <c r="AM26" i="1"/>
  <c r="AN27" i="1" s="1"/>
  <c r="AP59" i="1"/>
  <c r="AS53" i="1"/>
  <c r="R113" i="1"/>
  <c r="AP43" i="1"/>
  <c r="AS59" i="1"/>
  <c r="AS25" i="1"/>
  <c r="AQ20" i="1"/>
  <c r="M53" i="4" l="1"/>
  <c r="N21" i="4"/>
  <c r="N46" i="4" s="1"/>
  <c r="M48" i="4"/>
  <c r="L90" i="2"/>
  <c r="O22" i="4"/>
  <c r="I50" i="6"/>
  <c r="I52" i="6" s="1"/>
  <c r="J36" i="6"/>
  <c r="K22" i="6"/>
  <c r="J37" i="6"/>
  <c r="K28" i="2"/>
  <c r="V100" i="2" s="1"/>
  <c r="L85" i="2"/>
  <c r="AS65" i="2"/>
  <c r="E63" i="2"/>
  <c r="AM35" i="2"/>
  <c r="AQ35" i="2" s="1"/>
  <c r="T36" i="2"/>
  <c r="Q56" i="2"/>
  <c r="G50" i="2"/>
  <c r="F57" i="2"/>
  <c r="F59" i="2" s="1"/>
  <c r="F60" i="2" s="1"/>
  <c r="U44" i="2"/>
  <c r="V28" i="2"/>
  <c r="U43" i="2"/>
  <c r="AH44" i="2"/>
  <c r="AI28" i="2"/>
  <c r="AH43" i="2"/>
  <c r="S38" i="1"/>
  <c r="R59" i="1"/>
  <c r="AP63" i="1"/>
  <c r="AQ42" i="1"/>
  <c r="AG46" i="1"/>
  <c r="AG45" i="1"/>
  <c r="AH30" i="1"/>
  <c r="N37" i="1"/>
  <c r="AN38" i="1" s="1"/>
  <c r="J30" i="1"/>
  <c r="E52" i="1"/>
  <c r="D59" i="1"/>
  <c r="D61" i="1" s="1"/>
  <c r="AS61" i="1"/>
  <c r="I109" i="1"/>
  <c r="J109" i="1"/>
  <c r="AQ58" i="1"/>
  <c r="U30" i="1"/>
  <c r="T46" i="1"/>
  <c r="T45" i="1"/>
  <c r="C61" i="1"/>
  <c r="C62" i="1" s="1"/>
  <c r="N53" i="4" l="1"/>
  <c r="O21" i="4"/>
  <c r="O46" i="4" s="1"/>
  <c r="N48" i="4"/>
  <c r="L92" i="1"/>
  <c r="D62" i="1"/>
  <c r="P22" i="4"/>
  <c r="J50" i="6"/>
  <c r="J52" i="6" s="1"/>
  <c r="K36" i="6"/>
  <c r="L22" i="6"/>
  <c r="K37" i="6"/>
  <c r="R56" i="2"/>
  <c r="U36" i="2"/>
  <c r="V44" i="2"/>
  <c r="W28" i="2"/>
  <c r="V43" i="2"/>
  <c r="H50" i="2"/>
  <c r="G57" i="2"/>
  <c r="G59" i="2" s="1"/>
  <c r="G60" i="2" s="1"/>
  <c r="V103" i="2"/>
  <c r="W100" i="2" s="1"/>
  <c r="AI44" i="2"/>
  <c r="AJ28" i="2"/>
  <c r="AI43" i="2"/>
  <c r="AN29" i="2"/>
  <c r="F63" i="2"/>
  <c r="AE63" i="2"/>
  <c r="AS67" i="1"/>
  <c r="U46" i="1"/>
  <c r="U45" i="1"/>
  <c r="V30" i="1"/>
  <c r="T38" i="1"/>
  <c r="S59" i="1"/>
  <c r="S61" i="1" s="1"/>
  <c r="R61" i="1"/>
  <c r="F52" i="1"/>
  <c r="E59" i="1"/>
  <c r="AM37" i="1"/>
  <c r="AQ37" i="1" s="1"/>
  <c r="K30" i="1"/>
  <c r="AH45" i="1"/>
  <c r="AH46" i="1"/>
  <c r="AI30" i="1"/>
  <c r="O53" i="4" l="1"/>
  <c r="P37" i="4"/>
  <c r="P21" i="4"/>
  <c r="K50" i="6"/>
  <c r="K52" i="6" s="1"/>
  <c r="M22" i="6"/>
  <c r="L37" i="6"/>
  <c r="L36" i="6"/>
  <c r="AJ44" i="2"/>
  <c r="AK28" i="2"/>
  <c r="AJ43" i="2"/>
  <c r="V36" i="2"/>
  <c r="W44" i="2"/>
  <c r="W43" i="2"/>
  <c r="X28" i="2"/>
  <c r="W102" i="2"/>
  <c r="V104" i="2"/>
  <c r="V106" i="2"/>
  <c r="W101" i="2"/>
  <c r="W99" i="2"/>
  <c r="AS60" i="2"/>
  <c r="S56" i="2"/>
  <c r="I50" i="2"/>
  <c r="H57" i="2"/>
  <c r="H59" i="2" s="1"/>
  <c r="H60" i="2" s="1"/>
  <c r="V102" i="1"/>
  <c r="U38" i="1"/>
  <c r="T59" i="1"/>
  <c r="E61" i="1"/>
  <c r="E62" i="1" s="1"/>
  <c r="AI46" i="1"/>
  <c r="AI45" i="1"/>
  <c r="AJ30" i="1"/>
  <c r="AN31" i="1"/>
  <c r="L87" i="1"/>
  <c r="V45" i="1"/>
  <c r="W30" i="1"/>
  <c r="V46" i="1"/>
  <c r="G52" i="1"/>
  <c r="F59" i="1"/>
  <c r="O48" i="4" l="1"/>
  <c r="L50" i="6"/>
  <c r="L52" i="6" s="1"/>
  <c r="N22" i="6"/>
  <c r="O22" i="6" s="1"/>
  <c r="M37" i="6"/>
  <c r="M36" i="6"/>
  <c r="J50" i="2"/>
  <c r="I57" i="2"/>
  <c r="I59" i="2" s="1"/>
  <c r="I60" i="2" s="1"/>
  <c r="T56" i="2"/>
  <c r="X43" i="2"/>
  <c r="Y28" i="2"/>
  <c r="X44" i="2"/>
  <c r="W36" i="2"/>
  <c r="AK44" i="2"/>
  <c r="AL28" i="2"/>
  <c r="AK43" i="2"/>
  <c r="AE65" i="1"/>
  <c r="AS62" i="1"/>
  <c r="V38" i="1"/>
  <c r="U59" i="1"/>
  <c r="U61" i="1" s="1"/>
  <c r="V105" i="1"/>
  <c r="F61" i="1"/>
  <c r="F62" i="1" s="1"/>
  <c r="H52" i="1"/>
  <c r="G59" i="1"/>
  <c r="G61" i="1" s="1"/>
  <c r="AJ45" i="1"/>
  <c r="AJ46" i="1"/>
  <c r="AK30" i="1"/>
  <c r="W46" i="1"/>
  <c r="W45" i="1"/>
  <c r="X30" i="1"/>
  <c r="T61" i="1"/>
  <c r="P46" i="4" l="1"/>
  <c r="M50" i="6"/>
  <c r="M52" i="6" s="1"/>
  <c r="N37" i="6"/>
  <c r="O37" i="6" s="1"/>
  <c r="N36" i="6"/>
  <c r="O36" i="6" s="1"/>
  <c r="AL44" i="2"/>
  <c r="AL43" i="2"/>
  <c r="R85" i="2" s="1"/>
  <c r="AP29" i="2"/>
  <c r="AU60" i="2" s="1"/>
  <c r="U56" i="2"/>
  <c r="X36" i="2"/>
  <c r="K50" i="2"/>
  <c r="J57" i="2"/>
  <c r="J59" i="2" s="1"/>
  <c r="J60" i="2" s="1"/>
  <c r="Z28" i="2"/>
  <c r="F131" i="2" s="1"/>
  <c r="Y44" i="2"/>
  <c r="Y43" i="2"/>
  <c r="W104" i="1"/>
  <c r="V106" i="1"/>
  <c r="V108" i="1"/>
  <c r="W103" i="1"/>
  <c r="W101" i="1"/>
  <c r="X46" i="1"/>
  <c r="X45" i="1"/>
  <c r="Y30" i="1"/>
  <c r="W102" i="1"/>
  <c r="W38" i="1"/>
  <c r="V59" i="1"/>
  <c r="V61" i="1" s="1"/>
  <c r="I52" i="1"/>
  <c r="H59" i="1"/>
  <c r="H61" i="1" s="1"/>
  <c r="AK46" i="1"/>
  <c r="AK45" i="1"/>
  <c r="AL30" i="1"/>
  <c r="G62" i="1"/>
  <c r="B24" i="3" l="1"/>
  <c r="B25" i="3" s="1"/>
  <c r="E8" i="12"/>
  <c r="H62" i="1"/>
  <c r="N50" i="6"/>
  <c r="N52" i="6" s="1"/>
  <c r="V56" i="2"/>
  <c r="L50" i="2"/>
  <c r="K57" i="2"/>
  <c r="K59" i="2" s="1"/>
  <c r="K60" i="2" s="1"/>
  <c r="AM28" i="2"/>
  <c r="AP44" i="2"/>
  <c r="AU66" i="2" s="1"/>
  <c r="Y36" i="2"/>
  <c r="Z44" i="2"/>
  <c r="AO45" i="2" s="1"/>
  <c r="Z43" i="2"/>
  <c r="AO44" i="2" s="1"/>
  <c r="AO29" i="2"/>
  <c r="AT28" i="2"/>
  <c r="AP45" i="2"/>
  <c r="J52" i="1"/>
  <c r="I59" i="1"/>
  <c r="AL45" i="1"/>
  <c r="AL46" i="1"/>
  <c r="R87" i="1" s="1"/>
  <c r="AP31" i="1"/>
  <c r="AU62" i="1" s="1"/>
  <c r="X38" i="1"/>
  <c r="W59" i="1"/>
  <c r="W61" i="1" s="1"/>
  <c r="Y46" i="1"/>
  <c r="Y45" i="1"/>
  <c r="Z30" i="1"/>
  <c r="F133" i="1" s="1"/>
  <c r="E14" i="12" l="1"/>
  <c r="E15" i="12" s="1"/>
  <c r="D8" i="12"/>
  <c r="E20" i="12"/>
  <c r="E21" i="12" s="1"/>
  <c r="E9" i="12"/>
  <c r="I20" i="12"/>
  <c r="I21" i="12" s="1"/>
  <c r="I14" i="12"/>
  <c r="I15" i="12" s="1"/>
  <c r="AM43" i="2"/>
  <c r="AQ43" i="2" s="1"/>
  <c r="O52" i="6"/>
  <c r="O50" i="6"/>
  <c r="D24" i="3" s="1"/>
  <c r="D25" i="3" s="1"/>
  <c r="D27" i="3" s="1"/>
  <c r="C25" i="3"/>
  <c r="C27" i="3" s="1"/>
  <c r="AM44" i="2"/>
  <c r="AQ44" i="2" s="1"/>
  <c r="M50" i="2"/>
  <c r="L57" i="2"/>
  <c r="L59" i="2" s="1"/>
  <c r="L60" i="2" s="1"/>
  <c r="AT60" i="2"/>
  <c r="AQ28" i="2"/>
  <c r="O85" i="2"/>
  <c r="AT66" i="2"/>
  <c r="W56" i="2"/>
  <c r="Z36" i="2"/>
  <c r="G131" i="2"/>
  <c r="Z46" i="1"/>
  <c r="AO47" i="1" s="1"/>
  <c r="Z45" i="1"/>
  <c r="AO46" i="1" s="1"/>
  <c r="AO31" i="1"/>
  <c r="AT30" i="1"/>
  <c r="AM30" i="1"/>
  <c r="K52" i="1"/>
  <c r="J59" i="1"/>
  <c r="J61" i="1" s="1"/>
  <c r="AP47" i="1"/>
  <c r="AM46" i="1"/>
  <c r="AP46" i="1"/>
  <c r="AU68" i="1" s="1"/>
  <c r="Y38" i="1"/>
  <c r="X59" i="1"/>
  <c r="X61" i="1" s="1"/>
  <c r="I61" i="1"/>
  <c r="I62" i="1" s="1"/>
  <c r="I22" i="12" l="1"/>
  <c r="H30" i="12"/>
  <c r="E22" i="12"/>
  <c r="H28" i="12"/>
  <c r="H29" i="12"/>
  <c r="I16" i="12"/>
  <c r="E10" i="12"/>
  <c r="H26" i="12"/>
  <c r="D20" i="12"/>
  <c r="D21" i="12" s="1"/>
  <c r="D22" i="12" s="1"/>
  <c r="I28" i="12" s="1"/>
  <c r="H20" i="12"/>
  <c r="H21" i="12" s="1"/>
  <c r="H22" i="12" s="1"/>
  <c r="I30" i="12" s="1"/>
  <c r="H14" i="12"/>
  <c r="H15" i="12" s="1"/>
  <c r="H16" i="12" s="1"/>
  <c r="I29" i="12" s="1"/>
  <c r="D9" i="12"/>
  <c r="D10" i="12" s="1"/>
  <c r="I26" i="12" s="1"/>
  <c r="D14" i="12"/>
  <c r="D15" i="12" s="1"/>
  <c r="D16" i="12" s="1"/>
  <c r="I27" i="12" s="1"/>
  <c r="E16" i="12"/>
  <c r="H27" i="12"/>
  <c r="AM45" i="1"/>
  <c r="O87" i="1"/>
  <c r="AA36" i="2"/>
  <c r="O91" i="2"/>
  <c r="AO37" i="2"/>
  <c r="X56" i="2"/>
  <c r="N50" i="2"/>
  <c r="O50" i="2" s="1"/>
  <c r="M57" i="2"/>
  <c r="M59" i="2" s="1"/>
  <c r="M60" i="2" s="1"/>
  <c r="J62" i="1"/>
  <c r="Z38" i="1"/>
  <c r="Y59" i="1"/>
  <c r="Y61" i="1" s="1"/>
  <c r="L52" i="1"/>
  <c r="K59" i="1"/>
  <c r="K61" i="1" s="1"/>
  <c r="AT62" i="1"/>
  <c r="AQ30" i="1"/>
  <c r="AT68" i="1"/>
  <c r="AQ45" i="1"/>
  <c r="AQ46" i="1"/>
  <c r="G133" i="1"/>
  <c r="F27" i="12" l="1"/>
  <c r="F28" i="12"/>
  <c r="F29" i="12"/>
  <c r="F30" i="12"/>
  <c r="E24" i="3"/>
  <c r="P50" i="2"/>
  <c r="O57" i="2"/>
  <c r="O59" i="2" s="1"/>
  <c r="Y56" i="2"/>
  <c r="N57" i="2"/>
  <c r="L105" i="2"/>
  <c r="L114" i="2" s="1"/>
  <c r="AN51" i="2"/>
  <c r="AT51" i="2"/>
  <c r="AB36" i="2"/>
  <c r="M52" i="1"/>
  <c r="L59" i="1"/>
  <c r="L61" i="1" s="1"/>
  <c r="AA38" i="1"/>
  <c r="O93" i="1"/>
  <c r="O116" i="1" s="1"/>
  <c r="O117" i="1" s="1"/>
  <c r="O120" i="1" s="1"/>
  <c r="AO39" i="1"/>
  <c r="Z59" i="1"/>
  <c r="K62" i="1"/>
  <c r="E25" i="3" l="1"/>
  <c r="Q50" i="2"/>
  <c r="P57" i="2"/>
  <c r="P59" i="2" s="1"/>
  <c r="Z56" i="2"/>
  <c r="AC36" i="2"/>
  <c r="AN64" i="2"/>
  <c r="AS61" i="2" s="1"/>
  <c r="AN61" i="2"/>
  <c r="L115" i="2"/>
  <c r="L118" i="2" s="1"/>
  <c r="K117" i="2"/>
  <c r="K118" i="2" s="1"/>
  <c r="N59" i="2"/>
  <c r="N60" i="2" s="1"/>
  <c r="O60" i="2" s="1"/>
  <c r="AN58" i="2"/>
  <c r="AB38" i="1"/>
  <c r="AA59" i="1"/>
  <c r="N52" i="1"/>
  <c r="M59" i="1"/>
  <c r="M61" i="1" s="1"/>
  <c r="AT53" i="1"/>
  <c r="AO66" i="1"/>
  <c r="AT63" i="1" s="1"/>
  <c r="L62" i="1"/>
  <c r="Z61" i="1"/>
  <c r="AO60" i="1"/>
  <c r="P60" i="2" l="1"/>
  <c r="R50" i="2"/>
  <c r="Q57" i="2"/>
  <c r="Q59" i="2" s="1"/>
  <c r="Q60" i="2" s="1"/>
  <c r="AN62" i="2"/>
  <c r="AD36" i="2"/>
  <c r="L116" i="2"/>
  <c r="AS74" i="2"/>
  <c r="AS64" i="2"/>
  <c r="AS67" i="2" s="1"/>
  <c r="AS69" i="2" s="1"/>
  <c r="AS71" i="2" s="1"/>
  <c r="AS75" i="2"/>
  <c r="AA56" i="2"/>
  <c r="AO57" i="2"/>
  <c r="O111" i="2"/>
  <c r="AT76" i="1"/>
  <c r="AT77" i="1"/>
  <c r="AT66" i="1"/>
  <c r="AT69" i="1" s="1"/>
  <c r="AT71" i="1" s="1"/>
  <c r="AT73" i="1" s="1"/>
  <c r="N59" i="1"/>
  <c r="AM52" i="1"/>
  <c r="AN53" i="1"/>
  <c r="L107" i="1"/>
  <c r="L116" i="1" s="1"/>
  <c r="AO64" i="1"/>
  <c r="AA61" i="1"/>
  <c r="AC38" i="1"/>
  <c r="AB59" i="1"/>
  <c r="AB61" i="1" s="1"/>
  <c r="M62" i="1"/>
  <c r="S50" i="2" l="1"/>
  <c r="R57" i="2"/>
  <c r="R59" i="2" s="1"/>
  <c r="R60" i="2" s="1"/>
  <c r="AE36" i="2"/>
  <c r="AN63" i="2"/>
  <c r="AS72" i="2"/>
  <c r="AS79" i="2"/>
  <c r="AS73" i="2"/>
  <c r="AB56" i="2"/>
  <c r="L117" i="1"/>
  <c r="L120" i="1" s="1"/>
  <c r="K119" i="1"/>
  <c r="K120" i="1" s="1"/>
  <c r="AQ52" i="1"/>
  <c r="AN66" i="1"/>
  <c r="AS63" i="1" s="1"/>
  <c r="AN63" i="1"/>
  <c r="AD38" i="1"/>
  <c r="AC59" i="1"/>
  <c r="N61" i="1"/>
  <c r="N62" i="1" s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N60" i="1"/>
  <c r="L118" i="1" s="1"/>
  <c r="AT74" i="1"/>
  <c r="AT81" i="1"/>
  <c r="AT75" i="1"/>
  <c r="AO65" i="1"/>
  <c r="T50" i="2" l="1"/>
  <c r="S57" i="2"/>
  <c r="S59" i="2" s="1"/>
  <c r="S60" i="2" s="1"/>
  <c r="AF36" i="2"/>
  <c r="AC56" i="2"/>
  <c r="AE38" i="1"/>
  <c r="AD59" i="1"/>
  <c r="AD61" i="1" s="1"/>
  <c r="AS76" i="1"/>
  <c r="AR76" i="1" s="1"/>
  <c r="AS77" i="1"/>
  <c r="AT78" i="1" s="1"/>
  <c r="AS66" i="1"/>
  <c r="AS69" i="1" s="1"/>
  <c r="AS71" i="1" s="1"/>
  <c r="AS73" i="1" s="1"/>
  <c r="AN64" i="1"/>
  <c r="AO61" i="1"/>
  <c r="AO62" i="1" s="1"/>
  <c r="AC61" i="1"/>
  <c r="AC62" i="1" s="1"/>
  <c r="U50" i="2" l="1"/>
  <c r="T57" i="2"/>
  <c r="T59" i="2" s="1"/>
  <c r="T60" i="2" s="1"/>
  <c r="AG36" i="2"/>
  <c r="AD56" i="2"/>
  <c r="AO67" i="1"/>
  <c r="AN65" i="1"/>
  <c r="AT80" i="1"/>
  <c r="AS74" i="1"/>
  <c r="AS81" i="1"/>
  <c r="AS75" i="1"/>
  <c r="AT79" i="1"/>
  <c r="AD62" i="1"/>
  <c r="AF38" i="1"/>
  <c r="AE59" i="1"/>
  <c r="AE61" i="1" s="1"/>
  <c r="V50" i="2" l="1"/>
  <c r="U57" i="2"/>
  <c r="U59" i="2" s="1"/>
  <c r="U60" i="2" s="1"/>
  <c r="AE56" i="2"/>
  <c r="AH36" i="2"/>
  <c r="AG38" i="1"/>
  <c r="AF59" i="1"/>
  <c r="AF61" i="1" s="1"/>
  <c r="AE62" i="1"/>
  <c r="W50" i="2" l="1"/>
  <c r="V57" i="2"/>
  <c r="V59" i="2" s="1"/>
  <c r="V60" i="2" s="1"/>
  <c r="AI36" i="2"/>
  <c r="AF56" i="2"/>
  <c r="AH38" i="1"/>
  <c r="AG59" i="1"/>
  <c r="AG61" i="1" s="1"/>
  <c r="AF62" i="1"/>
  <c r="X50" i="2" l="1"/>
  <c r="W57" i="2"/>
  <c r="AJ36" i="2"/>
  <c r="AG56" i="2"/>
  <c r="AG62" i="1"/>
  <c r="AI38" i="1"/>
  <c r="AH59" i="1"/>
  <c r="AH61" i="1" s="1"/>
  <c r="W59" i="2" l="1"/>
  <c r="W60" i="2" s="1"/>
  <c r="Y50" i="2"/>
  <c r="X57" i="2"/>
  <c r="X59" i="2" s="1"/>
  <c r="AK36" i="2"/>
  <c r="AH56" i="2"/>
  <c r="AJ38" i="1"/>
  <c r="AI59" i="1"/>
  <c r="AI61" i="1" s="1"/>
  <c r="AH62" i="1"/>
  <c r="Z50" i="2" l="1"/>
  <c r="Y57" i="2"/>
  <c r="Y59" i="2" s="1"/>
  <c r="X60" i="2"/>
  <c r="AL36" i="2"/>
  <c r="AI56" i="2"/>
  <c r="AK38" i="1"/>
  <c r="AJ59" i="1"/>
  <c r="AJ61" i="1" s="1"/>
  <c r="AI62" i="1"/>
  <c r="AJ62" i="1" l="1"/>
  <c r="Y60" i="2"/>
  <c r="AA50" i="2"/>
  <c r="Z57" i="2"/>
  <c r="O105" i="2"/>
  <c r="O114" i="2" s="1"/>
  <c r="O115" i="2" s="1"/>
  <c r="O118" i="2" s="1"/>
  <c r="AO51" i="2"/>
  <c r="AM36" i="2"/>
  <c r="R91" i="2"/>
  <c r="AP37" i="2"/>
  <c r="AJ56" i="2"/>
  <c r="AL38" i="1"/>
  <c r="AK59" i="1"/>
  <c r="AK61" i="1" s="1"/>
  <c r="AK62" i="1" l="1"/>
  <c r="Z59" i="2"/>
  <c r="Z60" i="2" s="1"/>
  <c r="AO58" i="2"/>
  <c r="AB50" i="2"/>
  <c r="AA57" i="2"/>
  <c r="AA59" i="2" s="1"/>
  <c r="AA60" i="2" s="1"/>
  <c r="AO61" i="2"/>
  <c r="AO64" i="2"/>
  <c r="AT61" i="2" s="1"/>
  <c r="AK56" i="2"/>
  <c r="AU51" i="2"/>
  <c r="AQ36" i="2"/>
  <c r="AM38" i="1"/>
  <c r="AP39" i="1"/>
  <c r="R93" i="1"/>
  <c r="R116" i="1" s="1"/>
  <c r="R117" i="1" s="1"/>
  <c r="S117" i="1" s="1"/>
  <c r="AC50" i="2" l="1"/>
  <c r="AB57" i="2"/>
  <c r="AB59" i="2" s="1"/>
  <c r="AB60" i="2" s="1"/>
  <c r="AO62" i="2"/>
  <c r="AO59" i="2"/>
  <c r="AO60" i="2" s="1"/>
  <c r="AT75" i="2"/>
  <c r="AT76" i="2" s="1"/>
  <c r="AT64" i="2"/>
  <c r="AT67" i="2" s="1"/>
  <c r="AT69" i="2" s="1"/>
  <c r="AT71" i="2" s="1"/>
  <c r="AT74" i="2"/>
  <c r="AR74" i="2" s="1"/>
  <c r="AL56" i="2"/>
  <c r="AU53" i="1"/>
  <c r="AP66" i="1"/>
  <c r="AU63" i="1" s="1"/>
  <c r="AQ38" i="1"/>
  <c r="AT77" i="2" l="1"/>
  <c r="AT78" i="2"/>
  <c r="AT73" i="2"/>
  <c r="AT72" i="2"/>
  <c r="AT79" i="2"/>
  <c r="AD50" i="2"/>
  <c r="AC57" i="2"/>
  <c r="AC59" i="2" s="1"/>
  <c r="AC60" i="2" s="1"/>
  <c r="AO65" i="2"/>
  <c r="AO63" i="2"/>
  <c r="AM56" i="2"/>
  <c r="R111" i="2"/>
  <c r="AP57" i="2"/>
  <c r="AU76" i="1"/>
  <c r="AV76" i="1" s="1"/>
  <c r="AU77" i="1"/>
  <c r="AU78" i="1" s="1"/>
  <c r="AU85" i="1"/>
  <c r="AU86" i="1" s="1"/>
  <c r="AU88" i="1" s="1"/>
  <c r="AU89" i="1" s="1"/>
  <c r="AL57" i="1" s="1"/>
  <c r="AU66" i="1"/>
  <c r="AU69" i="1" s="1"/>
  <c r="AU71" i="1" s="1"/>
  <c r="AE50" i="2" l="1"/>
  <c r="AD57" i="2"/>
  <c r="AD59" i="2" s="1"/>
  <c r="AD60" i="2" s="1"/>
  <c r="AQ56" i="2"/>
  <c r="AP57" i="1"/>
  <c r="AU72" i="1" s="1"/>
  <c r="AU73" i="1" s="1"/>
  <c r="AM57" i="1"/>
  <c r="AL59" i="1"/>
  <c r="AF50" i="2" l="1"/>
  <c r="AE57" i="2"/>
  <c r="AE59" i="2" s="1"/>
  <c r="AE60" i="2" s="1"/>
  <c r="AU79" i="1"/>
  <c r="AU81" i="1"/>
  <c r="AV74" i="1"/>
  <c r="AU75" i="1"/>
  <c r="AU80" i="1"/>
  <c r="AW73" i="1"/>
  <c r="AQ57" i="1"/>
  <c r="AM59" i="1"/>
  <c r="AL61" i="1"/>
  <c r="AL62" i="1" s="1"/>
  <c r="AP60" i="1"/>
  <c r="AG50" i="2" l="1"/>
  <c r="AF57" i="2"/>
  <c r="AF59" i="2" s="1"/>
  <c r="AF60" i="2" s="1"/>
  <c r="AM61" i="1"/>
  <c r="AN62" i="1" s="1"/>
  <c r="AP61" i="1"/>
  <c r="AP62" i="1" s="1"/>
  <c r="AP64" i="1"/>
  <c r="AQ59" i="1"/>
  <c r="AH50" i="2" l="1"/>
  <c r="AG57" i="2"/>
  <c r="AG59" i="2" s="1"/>
  <c r="AG60" i="2" s="1"/>
  <c r="AP65" i="1"/>
  <c r="AP67" i="1"/>
  <c r="AU74" i="1"/>
  <c r="AM63" i="1"/>
  <c r="T117" i="1"/>
  <c r="AI50" i="2" l="1"/>
  <c r="AH57" i="2"/>
  <c r="AH59" i="2" s="1"/>
  <c r="AH60" i="2" s="1"/>
  <c r="AJ50" i="2" l="1"/>
  <c r="AI57" i="2"/>
  <c r="AI59" i="2" s="1"/>
  <c r="AI60" i="2" s="1"/>
  <c r="AK50" i="2" l="1"/>
  <c r="AJ57" i="2"/>
  <c r="AJ59" i="2" l="1"/>
  <c r="AJ60" i="2" s="1"/>
  <c r="AL50" i="2"/>
  <c r="AK57" i="2"/>
  <c r="AK59" i="2" s="1"/>
  <c r="AK60" i="2" s="1"/>
  <c r="AM50" i="2" l="1"/>
  <c r="AP51" i="2"/>
  <c r="R105" i="2"/>
  <c r="R114" i="2" s="1"/>
  <c r="R115" i="2" s="1"/>
  <c r="S115" i="2" s="1"/>
  <c r="AP61" i="2" l="1"/>
  <c r="AQ50" i="2"/>
  <c r="AP64" i="2"/>
  <c r="AU61" i="2" s="1"/>
  <c r="AU74" i="2" l="1"/>
  <c r="AV74" i="2" s="1"/>
  <c r="AU83" i="2"/>
  <c r="AU84" i="2" s="1"/>
  <c r="AU86" i="2" s="1"/>
  <c r="AU87" i="2" s="1"/>
  <c r="AL55" i="2" s="1"/>
  <c r="AU75" i="2"/>
  <c r="AU76" i="2" s="1"/>
  <c r="AU64" i="2"/>
  <c r="AU67" i="2" s="1"/>
  <c r="AU69" i="2" s="1"/>
  <c r="AP55" i="2" l="1"/>
  <c r="AU70" i="2" s="1"/>
  <c r="AU71" i="2" s="1"/>
  <c r="AM55" i="2"/>
  <c r="AL57" i="2"/>
  <c r="AL59" i="2" l="1"/>
  <c r="AL60" i="2" s="1"/>
  <c r="AP58" i="2"/>
  <c r="AQ55" i="2"/>
  <c r="AM57" i="2"/>
  <c r="AU77" i="2"/>
  <c r="AU78" i="2"/>
  <c r="AV72" i="2"/>
  <c r="AW71" i="2"/>
  <c r="AU79" i="2"/>
  <c r="AU73" i="2"/>
  <c r="AM59" i="2" l="1"/>
  <c r="AN60" i="2" s="1"/>
  <c r="AP62" i="2"/>
  <c r="AP59" i="2"/>
  <c r="AP60" i="2" s="1"/>
  <c r="AQ57" i="2"/>
  <c r="AP65" i="2" l="1"/>
  <c r="AP63" i="2"/>
  <c r="AU72" i="2"/>
  <c r="AM61" i="2"/>
  <c r="T115" i="2"/>
  <c r="E48" i="4" l="1"/>
  <c r="P48" i="4" s="1"/>
  <c r="P18" i="4"/>
  <c r="Q25" i="4" s="1"/>
  <c r="B20" i="3" l="1"/>
  <c r="Q24" i="4"/>
  <c r="Q48" i="4"/>
  <c r="B27" i="3" l="1"/>
  <c r="E27" i="3" s="1"/>
  <c r="B60" i="3"/>
  <c r="E20" i="3"/>
  <c r="B4" i="3" l="1"/>
  <c r="B58" i="3"/>
  <c r="B6" i="3" l="1"/>
  <c r="B56" i="3"/>
  <c r="C4" i="3"/>
  <c r="C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Ahmed Abdalla</author>
  </authors>
  <commentList>
    <comment ref="E24" authorId="0" shapeId="0" xr:uid="{DE43D721-97A2-498A-B386-AD9C657B7710}">
      <text>
        <r>
          <rPr>
            <b/>
            <sz val="9"/>
            <color indexed="81"/>
            <rFont val="Tahoma"/>
            <family val="2"/>
          </rPr>
          <t>Leap</t>
        </r>
      </text>
    </comment>
    <comment ref="J24" authorId="0" shapeId="0" xr:uid="{A687935D-ACFD-4BC9-ACE7-B7C86D49E548}">
      <text>
        <r>
          <rPr>
            <b/>
            <sz val="9"/>
            <color indexed="81"/>
            <rFont val="Tahoma"/>
            <family val="2"/>
          </rPr>
          <t>Secret Idea</t>
        </r>
      </text>
    </comment>
    <comment ref="J25" authorId="0" shapeId="0" xr:uid="{F243AB2E-F819-4FD9-983C-5FADF4490CB1}">
      <text>
        <r>
          <rPr>
            <b/>
            <sz val="9"/>
            <color indexed="81"/>
            <rFont val="Tahoma"/>
            <family val="2"/>
          </rPr>
          <t>Smart Target 80%</t>
        </r>
      </text>
    </comment>
    <comment ref="N25" authorId="0" shapeId="0" xr:uid="{A0156C3A-DD3B-422B-BD5C-AFC2489E308B}">
      <text>
        <r>
          <rPr>
            <b/>
            <sz val="9"/>
            <color indexed="81"/>
            <rFont val="Tahoma"/>
            <family val="2"/>
          </rPr>
          <t>Smart Target 20%</t>
        </r>
      </text>
    </comment>
  </commentList>
</comments>
</file>

<file path=xl/sharedStrings.xml><?xml version="1.0" encoding="utf-8"?>
<sst xmlns="http://schemas.openxmlformats.org/spreadsheetml/2006/main" count="739" uniqueCount="266">
  <si>
    <t>Overall Budget</t>
  </si>
  <si>
    <t>3-Years Budget Sheet</t>
  </si>
  <si>
    <t>KD</t>
  </si>
  <si>
    <t>Totals No. of Booking</t>
  </si>
  <si>
    <t>1- P&amp;L</t>
  </si>
  <si>
    <t>Year - 1</t>
  </si>
  <si>
    <t>Year - 2</t>
  </si>
  <si>
    <t xml:space="preserve">Year -3 </t>
  </si>
  <si>
    <t>Elementary ( Sales )</t>
  </si>
  <si>
    <t>Intermediate ( Sales )</t>
  </si>
  <si>
    <t>Secondary ( Sales )</t>
  </si>
  <si>
    <t>Cards Sales Through ( Libraries &amp; Cooperative Socities ) - Recharge Cards</t>
  </si>
  <si>
    <t>Other income ( SPONSERS " AL SAYER &amp; KFH )</t>
  </si>
  <si>
    <t>Total Income</t>
  </si>
  <si>
    <t>1St Year</t>
  </si>
  <si>
    <t>2nd Year</t>
  </si>
  <si>
    <t>3rd Year</t>
  </si>
  <si>
    <t>Less Cost Of Sales</t>
  </si>
  <si>
    <t>GP</t>
  </si>
  <si>
    <r>
      <t xml:space="preserve">Cost of Sales (Direct) - </t>
    </r>
    <r>
      <rPr>
        <b/>
        <u/>
        <sz val="14"/>
        <color rgb="FFFF0000"/>
        <rFont val="Arial"/>
        <family val="2"/>
      </rPr>
      <t>Augmented Reality ( for Application Development )</t>
    </r>
  </si>
  <si>
    <t>Gross Profit</t>
  </si>
  <si>
    <t>Less Operating Expenses</t>
  </si>
  <si>
    <t>Salaries and Wages in Kuwait</t>
  </si>
  <si>
    <t xml:space="preserve">Rent </t>
  </si>
  <si>
    <t>Marketing &amp; Advertising &amp; gifts</t>
  </si>
  <si>
    <t xml:space="preserve">Other Oparating Expenses </t>
  </si>
  <si>
    <t>Gifts</t>
  </si>
  <si>
    <t>Consultation Fees</t>
  </si>
  <si>
    <t>Depreciation Expense</t>
  </si>
  <si>
    <t>Printing &amp; Stationery</t>
  </si>
  <si>
    <t>Subscriptions ( Internet &amp; Mobiles )</t>
  </si>
  <si>
    <t xml:space="preserve">Vehicle Expenses </t>
  </si>
  <si>
    <t>Repairs and Maintenance</t>
  </si>
  <si>
    <t>Hospitality</t>
  </si>
  <si>
    <t>Insurance</t>
  </si>
  <si>
    <t>Profesional Fees</t>
  </si>
  <si>
    <t>Indemnity</t>
  </si>
  <si>
    <t>Leave</t>
  </si>
  <si>
    <t>Telephone &amp; Internet</t>
  </si>
  <si>
    <t>Travel</t>
  </si>
  <si>
    <t>Governmental Expenses</t>
  </si>
  <si>
    <t>Transportation</t>
  </si>
  <si>
    <t>Staff Residences Expenses</t>
  </si>
  <si>
    <t>Bank Charges</t>
  </si>
  <si>
    <t>Finance (Interest) Charges</t>
  </si>
  <si>
    <t>IT and Software</t>
  </si>
  <si>
    <t>Miscellaneous Expenses</t>
  </si>
  <si>
    <t>Profit &amp; Loss ( 3 Years )</t>
  </si>
  <si>
    <t>Cleaning Expenses</t>
  </si>
  <si>
    <t>P&amp;L</t>
  </si>
  <si>
    <t xml:space="preserve">Zakat Expenses </t>
  </si>
  <si>
    <t>Social Security</t>
  </si>
  <si>
    <t>Total Operating Expenses</t>
  </si>
  <si>
    <t xml:space="preserve">Working Capital </t>
  </si>
  <si>
    <t>KNF</t>
  </si>
  <si>
    <t>7th Month</t>
  </si>
  <si>
    <t>INVESTOR</t>
  </si>
  <si>
    <t>2- Capital Expenditures</t>
  </si>
  <si>
    <t>Construction of Buildings</t>
  </si>
  <si>
    <t>Expansion in building</t>
  </si>
  <si>
    <t>Computer equipment</t>
  </si>
  <si>
    <t>Office Equipment</t>
  </si>
  <si>
    <t>Purchase of Furnitures</t>
  </si>
  <si>
    <t>Intangible assets ( copy rights- trade marks- patents- franchises )</t>
  </si>
  <si>
    <t>Zakat Exp.</t>
  </si>
  <si>
    <t>Machinery</t>
  </si>
  <si>
    <t>Software upgrades</t>
  </si>
  <si>
    <t xml:space="preserve">Vehicles </t>
  </si>
  <si>
    <t>Other Capital Expenditures #1</t>
  </si>
  <si>
    <t>Other Capital Expenditures #2</t>
  </si>
  <si>
    <t>Other Capital Expenditures #3</t>
  </si>
  <si>
    <t>Total Capital Expenditures</t>
  </si>
  <si>
    <t>Zakat</t>
  </si>
  <si>
    <t>First Year</t>
  </si>
  <si>
    <t>Second Year</t>
  </si>
  <si>
    <t>Third Year</t>
  </si>
  <si>
    <t>sales</t>
  </si>
  <si>
    <t>Cost of Sales</t>
  </si>
  <si>
    <t>Staff Costs</t>
  </si>
  <si>
    <t>Indm. Prov. Current Year ( - ) Indm. Prov. Last Year</t>
  </si>
  <si>
    <t>Rent Exp.</t>
  </si>
  <si>
    <t>Marketing Exp.</t>
  </si>
  <si>
    <t>3- Number of Kuwaitis to be hiring during those years</t>
  </si>
  <si>
    <t>Manpower for Kashcool Project ( 3 Years )</t>
  </si>
  <si>
    <t xml:space="preserve"> Staff Salaries for First Year ( April 2020 ) </t>
  </si>
  <si>
    <t>Position / Title</t>
  </si>
  <si>
    <t>Monthly Salary</t>
  </si>
  <si>
    <t>No. of Employees</t>
  </si>
  <si>
    <t>Total Monthly Salary</t>
  </si>
  <si>
    <t>Total Yearly Salary</t>
  </si>
  <si>
    <t>Nationality</t>
  </si>
  <si>
    <t>First Year Salary</t>
  </si>
  <si>
    <t>Social Security 1st Year</t>
  </si>
  <si>
    <t>Social Security 2nd Year</t>
  </si>
  <si>
    <t>Social Security 3rd Year</t>
  </si>
  <si>
    <t>General Manager</t>
  </si>
  <si>
    <t>Kuwaiti</t>
  </si>
  <si>
    <t>Finance Manager</t>
  </si>
  <si>
    <t>Technical Manager</t>
  </si>
  <si>
    <t>Call Center Staff</t>
  </si>
  <si>
    <t>E-Learning Team</t>
  </si>
  <si>
    <t>Sales &amp; Marketing Manager</t>
  </si>
  <si>
    <t>Sales &amp; Marketing Staff</t>
  </si>
  <si>
    <t>Customer Services Supervisor</t>
  </si>
  <si>
    <t>Office Manager</t>
  </si>
  <si>
    <t>Office Boy ( Company Contract )</t>
  </si>
  <si>
    <t>5 Kuwaiti &amp; 4 Non Kuwaiti</t>
  </si>
  <si>
    <t xml:space="preserve"> Staff Salaries for Second Year</t>
  </si>
  <si>
    <t>Total Expenses</t>
  </si>
  <si>
    <t>Experience</t>
  </si>
  <si>
    <t>Customer Services Manager</t>
  </si>
  <si>
    <t>Customer Services Staff</t>
  </si>
  <si>
    <t>Office Boy</t>
  </si>
  <si>
    <t>Total in Second Year</t>
  </si>
  <si>
    <t>5 Kuwaiti &amp; 6 Non Kuwaiti</t>
  </si>
  <si>
    <t xml:space="preserve"> Staff Salaries for Third Year</t>
  </si>
  <si>
    <t>Accum. Cash</t>
  </si>
  <si>
    <t xml:space="preserve">Social Media Manager </t>
  </si>
  <si>
    <t>Social Media Specialist</t>
  </si>
  <si>
    <t>Digital Marketing Manager</t>
  </si>
  <si>
    <t>Office Boy ( + Increment )</t>
  </si>
  <si>
    <t>Total in Third Year</t>
  </si>
  <si>
    <t>Total Numbers of Employees</t>
  </si>
  <si>
    <r>
      <rPr>
        <b/>
        <u/>
        <sz val="14"/>
        <rFont val="Arial"/>
        <family val="2"/>
      </rPr>
      <t>Net</t>
    </r>
    <r>
      <rPr>
        <b/>
        <u/>
        <sz val="14"/>
        <color rgb="FFFF0000"/>
        <rFont val="Arial"/>
        <family val="2"/>
      </rPr>
      <t xml:space="preserve"> </t>
    </r>
    <r>
      <rPr>
        <b/>
        <u/>
        <sz val="14"/>
        <rFont val="Arial"/>
        <family val="2"/>
      </rPr>
      <t>Profit</t>
    </r>
    <r>
      <rPr>
        <b/>
        <u/>
        <sz val="14"/>
        <color rgb="FFFF0000"/>
        <rFont val="Arial"/>
        <family val="2"/>
      </rPr>
      <t xml:space="preserve"> / Loss</t>
    </r>
  </si>
  <si>
    <r>
      <t xml:space="preserve">Total No. of </t>
    </r>
    <r>
      <rPr>
        <b/>
        <sz val="14"/>
        <rFont val="Calibri"/>
        <family val="2"/>
        <scheme val="minor"/>
      </rPr>
      <t>Booking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 - ELEMENTRY SCHOOL</t>
    </r>
  </si>
  <si>
    <r>
      <t>Total No. of Booking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 - INTERMEDIATE SCHOOL</t>
    </r>
  </si>
  <si>
    <r>
      <t>Total No. of Booking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 - SECONDARY SCHOOL</t>
    </r>
  </si>
  <si>
    <r>
      <t>From August 2020 to July 2023</t>
    </r>
    <r>
      <rPr>
        <b/>
        <u/>
        <sz val="14"/>
        <color rgb="FFFF0000"/>
        <rFont val="Arial"/>
        <family val="2"/>
      </rPr>
      <t xml:space="preserve"> ( 36 Months )</t>
    </r>
  </si>
  <si>
    <r>
      <t xml:space="preserve">Income ( Sales ) - </t>
    </r>
    <r>
      <rPr>
        <b/>
        <u/>
        <sz val="14"/>
        <color rgb="FFFF0000"/>
        <rFont val="Arial"/>
        <family val="2"/>
      </rPr>
      <t>Details</t>
    </r>
  </si>
  <si>
    <r>
      <t>Sales from ONLINE</t>
    </r>
    <r>
      <rPr>
        <b/>
        <u/>
        <sz val="14"/>
        <rFont val="Arial"/>
        <family val="2"/>
      </rPr>
      <t xml:space="preserve"> ( APPLICATION )</t>
    </r>
  </si>
  <si>
    <r>
      <t xml:space="preserve">Cost of Sales (Direct) - </t>
    </r>
    <r>
      <rPr>
        <b/>
        <u/>
        <sz val="14"/>
        <color rgb="FFFF0000"/>
        <rFont val="Arial"/>
        <family val="2"/>
      </rPr>
      <t>Amendement in Educations Subjects</t>
    </r>
  </si>
  <si>
    <r>
      <t xml:space="preserve">Monthly - Net Profit / </t>
    </r>
    <r>
      <rPr>
        <b/>
        <sz val="14"/>
        <color rgb="FFFF0000"/>
        <rFont val="Arial"/>
        <family val="2"/>
      </rPr>
      <t>Loss</t>
    </r>
  </si>
  <si>
    <r>
      <t xml:space="preserve">Accumulated Net Profit / </t>
    </r>
    <r>
      <rPr>
        <b/>
        <sz val="14"/>
        <color rgb="FFFF0000"/>
        <rFont val="Arial"/>
        <family val="2"/>
      </rPr>
      <t>Loss</t>
    </r>
  </si>
  <si>
    <r>
      <t xml:space="preserve">Total No. of </t>
    </r>
    <r>
      <rPr>
        <b/>
        <sz val="16"/>
        <rFont val="Calibri"/>
        <family val="2"/>
        <scheme val="minor"/>
      </rPr>
      <t>Booking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 xml:space="preserve"> - ELEMENTRY SCHOOL</t>
    </r>
  </si>
  <si>
    <r>
      <t>Total No. of Booking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 xml:space="preserve"> - INTERMEDIATE SCHOOL</t>
    </r>
  </si>
  <si>
    <r>
      <t>Total No. of Booking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 xml:space="preserve"> - SECONDARY SCHOOL</t>
    </r>
  </si>
  <si>
    <r>
      <t>From August 2020 to July 2023</t>
    </r>
    <r>
      <rPr>
        <b/>
        <u/>
        <sz val="18"/>
        <color rgb="FFFF0000"/>
        <rFont val="Arial"/>
        <family val="2"/>
      </rPr>
      <t xml:space="preserve"> ( 36 Months )</t>
    </r>
  </si>
  <si>
    <r>
      <t xml:space="preserve">Income ( Sales ) - </t>
    </r>
    <r>
      <rPr>
        <b/>
        <u/>
        <sz val="16"/>
        <color rgb="FFFF0000"/>
        <rFont val="Arial"/>
        <family val="2"/>
      </rPr>
      <t>Details</t>
    </r>
  </si>
  <si>
    <r>
      <t>Sales from ONLINE</t>
    </r>
    <r>
      <rPr>
        <b/>
        <u/>
        <sz val="16"/>
        <rFont val="Arial"/>
        <family val="2"/>
      </rPr>
      <t xml:space="preserve"> ( APPLICATION )</t>
    </r>
  </si>
  <si>
    <r>
      <t xml:space="preserve">Cost of Sales (Direct) - </t>
    </r>
    <r>
      <rPr>
        <b/>
        <u/>
        <sz val="16"/>
        <color rgb="FFFF0000"/>
        <rFont val="Arial"/>
        <family val="2"/>
      </rPr>
      <t>Amendement in Educations Subjects</t>
    </r>
  </si>
  <si>
    <r>
      <t xml:space="preserve">Monthly - Net Profit / </t>
    </r>
    <r>
      <rPr>
        <b/>
        <sz val="18"/>
        <color rgb="FFFF0000"/>
        <rFont val="Arial"/>
        <family val="2"/>
      </rPr>
      <t>Loss</t>
    </r>
  </si>
  <si>
    <r>
      <t xml:space="preserve">Accumulated Net Profit / </t>
    </r>
    <r>
      <rPr>
        <b/>
        <sz val="18"/>
        <color rgb="FFFF0000"/>
        <rFont val="Arial"/>
        <family val="2"/>
      </rPr>
      <t>Loss</t>
    </r>
  </si>
  <si>
    <t>Misc. Exp.</t>
  </si>
  <si>
    <t>Aug 2020-July 2021</t>
  </si>
  <si>
    <t>Aug 2021-July 2022</t>
  </si>
  <si>
    <t>Aug 2022-July 2023</t>
  </si>
  <si>
    <t>Monthly - Net Profit / Loss</t>
  </si>
  <si>
    <r>
      <t xml:space="preserve">Monthly - Net Profit / </t>
    </r>
    <r>
      <rPr>
        <b/>
        <sz val="12"/>
        <color rgb="FFFF0000"/>
        <rFont val="Arial"/>
        <family val="2"/>
      </rPr>
      <t>Loss</t>
    </r>
  </si>
  <si>
    <t>Total</t>
  </si>
  <si>
    <t>Income ( Sales ) -  On line K.D.</t>
  </si>
  <si>
    <t>Total 3 years</t>
  </si>
  <si>
    <t>Aug 2024-July 2025</t>
  </si>
  <si>
    <t xml:space="preserve">Salaries and Wages </t>
  </si>
  <si>
    <t>First year</t>
  </si>
  <si>
    <t>-</t>
  </si>
  <si>
    <t>SR</t>
  </si>
  <si>
    <t>Share % of 7 million students+teachers</t>
  </si>
  <si>
    <t xml:space="preserve">Marketing &amp; Advertising </t>
  </si>
  <si>
    <t>Indemnity &amp; leave</t>
  </si>
  <si>
    <t>No. Of Students &amp; Teachers</t>
  </si>
  <si>
    <t>Total ( No. of Studnets x 2 Subjects)</t>
  </si>
  <si>
    <t>Growth (New Students)</t>
  </si>
  <si>
    <t xml:space="preserve">Cash Flow </t>
  </si>
  <si>
    <t>Sales in KSA</t>
  </si>
  <si>
    <t>.</t>
  </si>
  <si>
    <t>No. of Students</t>
  </si>
  <si>
    <t>Total Exp.</t>
  </si>
  <si>
    <t>No. Of Students</t>
  </si>
  <si>
    <t>Sales</t>
  </si>
  <si>
    <t>Net Profit</t>
  </si>
  <si>
    <t>Operation Exp.</t>
  </si>
  <si>
    <t>Subscription price</t>
  </si>
  <si>
    <t>No. of targeted student</t>
  </si>
  <si>
    <t>% of targeted students</t>
  </si>
  <si>
    <t>Marketing</t>
  </si>
  <si>
    <t>% of Targeted students</t>
  </si>
  <si>
    <t>SAR</t>
  </si>
  <si>
    <t>%</t>
  </si>
  <si>
    <t>Share % of students+teachers</t>
  </si>
  <si>
    <t>Total sales</t>
  </si>
  <si>
    <t>ELEMENTRY</t>
  </si>
  <si>
    <t>INTERMEDIATE</t>
  </si>
  <si>
    <t>SECONDARY</t>
  </si>
  <si>
    <t>Programming tools fees</t>
  </si>
  <si>
    <t>Market share</t>
  </si>
  <si>
    <t>AI expenses (Hygen+Chatgpt)</t>
  </si>
  <si>
    <t>KWD</t>
  </si>
  <si>
    <t>Avatar</t>
  </si>
  <si>
    <t>Q</t>
  </si>
  <si>
    <t>Word</t>
  </si>
  <si>
    <t>Token</t>
  </si>
  <si>
    <t>Ttl token</t>
  </si>
  <si>
    <t>$ per 1M</t>
  </si>
  <si>
    <t>Min</t>
  </si>
  <si>
    <t>Support</t>
  </si>
  <si>
    <t>Input Txt-Txt</t>
  </si>
  <si>
    <t>Input Aud-Txt</t>
  </si>
  <si>
    <t>minut</t>
  </si>
  <si>
    <t>$/minut</t>
  </si>
  <si>
    <t>output Txt-Txt</t>
  </si>
  <si>
    <t>output Txt-Aud</t>
  </si>
  <si>
    <t>Chracters</t>
  </si>
  <si>
    <t>https://openai.com/pricing</t>
  </si>
  <si>
    <t>Questions</t>
  </si>
  <si>
    <t>Token per word</t>
  </si>
  <si>
    <t>Input Text to Text</t>
  </si>
  <si>
    <t>Cost per token (.5$/1M)</t>
  </si>
  <si>
    <t>Cost per User $</t>
  </si>
  <si>
    <t>Input words (Ask)</t>
  </si>
  <si>
    <t>Output words (Reply)</t>
  </si>
  <si>
    <t>Input Audio to Text</t>
  </si>
  <si>
    <t>Cost per minute</t>
  </si>
  <si>
    <t>Output Text to Text</t>
  </si>
  <si>
    <t>Cost per token (1.5$/1M)</t>
  </si>
  <si>
    <t>Characters per word</t>
  </si>
  <si>
    <t>Cost per character (15$/1M)</t>
  </si>
  <si>
    <t>250 Package</t>
  </si>
  <si>
    <t>Total costs for :-</t>
  </si>
  <si>
    <t>USD</t>
  </si>
  <si>
    <t>500 Package</t>
  </si>
  <si>
    <t>1000 Package</t>
  </si>
  <si>
    <t>% from fees</t>
  </si>
  <si>
    <t>expected discount</t>
  </si>
  <si>
    <t>Output Text to Audio (After consuming Avatar)</t>
  </si>
  <si>
    <t>AI expenses (Chatgpt)</t>
  </si>
  <si>
    <t>2000 Package</t>
  </si>
  <si>
    <t>4000 Package</t>
  </si>
  <si>
    <t>Aug 2025- July 2026</t>
  </si>
  <si>
    <t>Qudorat (HeyGen) $20K</t>
  </si>
  <si>
    <t>Fees</t>
  </si>
  <si>
    <t>Year 1</t>
  </si>
  <si>
    <t>Per 1 student</t>
  </si>
  <si>
    <t>Targeted student</t>
  </si>
  <si>
    <t>Revenues</t>
  </si>
  <si>
    <t>Total Costs</t>
  </si>
  <si>
    <t>Profits</t>
  </si>
  <si>
    <t>Profit margin %</t>
  </si>
  <si>
    <t>Discount</t>
  </si>
  <si>
    <t>No discount</t>
  </si>
  <si>
    <t>Lost revenues in Riyal</t>
  </si>
  <si>
    <t>Total profit</t>
  </si>
  <si>
    <t>Total lost revenues</t>
  </si>
  <si>
    <t>Margin %</t>
  </si>
  <si>
    <t>Tokens per question</t>
  </si>
  <si>
    <t>Question finder</t>
  </si>
  <si>
    <t>https://openai.com/api/pricing/</t>
  </si>
  <si>
    <t>Total Revenues</t>
  </si>
  <si>
    <t>Expenses</t>
  </si>
  <si>
    <t>Accumulated net profit</t>
  </si>
  <si>
    <t>Revenues 1</t>
  </si>
  <si>
    <t>Revenues 2</t>
  </si>
  <si>
    <t>Cash position</t>
  </si>
  <si>
    <t>All figures in SAR</t>
  </si>
  <si>
    <t>Al Majed Company</t>
  </si>
  <si>
    <t>Khalid Al Hamlan</t>
  </si>
  <si>
    <t>Staff &amp; Admin Costs</t>
  </si>
  <si>
    <t>KSA</t>
  </si>
  <si>
    <t>Kuwait</t>
  </si>
  <si>
    <t>Egypt</t>
  </si>
  <si>
    <t>India</t>
  </si>
  <si>
    <t>Marketing expenses</t>
  </si>
  <si>
    <t>Ahmed Al Homaid</t>
  </si>
  <si>
    <t>Cash inflow</t>
  </si>
  <si>
    <t>…</t>
  </si>
  <si>
    <t>Cash balance</t>
  </si>
  <si>
    <t>Forecast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</si>
</sst>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7" formatCode="&quot;$&quot;#,##0.00_);\(&quot;$&quot;#,##0.00\)"/>
    <numFmt numFmtId="43" formatCode="_(* #,##0.00_);_(* \(#,##0.00\);_(* &quot;-&quot;??_);_(@_)"/>
    <numFmt numFmtId="164" formatCode="[$د.ك-809]#,##0.00;\-[$د.ك-809]#,##0.00"/>
    <numFmt numFmtId="165" formatCode="_(* #,##0_);_(* \(#,##0\);_(* &quot;-&quot;??_);_(@_)"/>
    <numFmt numFmtId="166" formatCode="[$د.ك-809]#,##0;\-[$د.ك-809]#,##0"/>
    <numFmt numFmtId="167" formatCode="0.0%"/>
    <numFmt numFmtId="168" formatCode="&quot;$&quot;#,##0.00"/>
    <numFmt numFmtId="169" formatCode="[$د.ك-809]#,##0.000;\-[$د.ك-809]#,##0.000"/>
    <numFmt numFmtId="170" formatCode="[$-409]mmm\-yy;@"/>
    <numFmt numFmtId="171" formatCode="#,##0.000"/>
    <numFmt numFmtId="172" formatCode="[$د.ك-809]#,##0.0;\-[$د.ك-809]#,##0.0"/>
    <numFmt numFmtId="173" formatCode="#,##0.000_);[Red]\(#,##0.000\)"/>
    <numFmt numFmtId="174" formatCode="_(* #,##0.000_);_(* \(#,##0.000\);_(* &quot;-&quot;??_);_(@_)"/>
    <numFmt numFmtId="175" formatCode="#,##0.0_);\(#,##0.0\)"/>
    <numFmt numFmtId="176" formatCode="0.00_);[Red]\(0.00\)"/>
    <numFmt numFmtId="177" formatCode="#,##0.000_ ;\-#,##0.000\ "/>
    <numFmt numFmtId="178" formatCode="_(* #,##0.000_);_(* \(#,##0.000\);_(* &quot;-&quot;???_);_(@_)"/>
    <numFmt numFmtId="179" formatCode="#,##0_ ;\-#,##0\ "/>
    <numFmt numFmtId="180" formatCode="0.0"/>
    <numFmt numFmtId="181" formatCode="[$SAR]\ #,##0_);\([$SAR]\ #,##0\)"/>
    <numFmt numFmtId="182" formatCode="0.000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8"/>
      <name val="Arial"/>
      <family val="2"/>
    </font>
    <font>
      <b/>
      <u/>
      <sz val="14"/>
      <color rgb="FFFF0000"/>
      <name val="Arial"/>
      <family val="2"/>
    </font>
    <font>
      <b/>
      <sz val="14"/>
      <color rgb="FF0070C0"/>
      <name val="Arial"/>
      <family val="2"/>
    </font>
    <font>
      <b/>
      <u val="singleAccounting"/>
      <sz val="14"/>
      <name val="Arial"/>
      <family val="2"/>
    </font>
    <font>
      <b/>
      <sz val="14"/>
      <color rgb="FFFF0000"/>
      <name val="Arial"/>
      <family val="2"/>
    </font>
    <font>
      <b/>
      <i/>
      <sz val="14"/>
      <name val="Arial"/>
      <family val="2"/>
    </font>
    <font>
      <sz val="14"/>
      <color rgb="FFFF0000"/>
      <name val="Arial"/>
      <family val="2"/>
    </font>
    <font>
      <b/>
      <u/>
      <sz val="14"/>
      <color theme="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 tint="-4.9989318521683403E-2"/>
      <name val="Arial"/>
      <family val="2"/>
    </font>
    <font>
      <b/>
      <sz val="14"/>
      <name val="Arial Narrow"/>
      <family val="2"/>
    </font>
    <font>
      <b/>
      <u/>
      <sz val="14"/>
      <name val="Arial Narrow"/>
      <family val="2"/>
    </font>
    <font>
      <b/>
      <sz val="14"/>
      <color theme="1"/>
      <name val="Arial"/>
      <family val="2"/>
    </font>
    <font>
      <u/>
      <sz val="14"/>
      <name val="Arial"/>
      <family val="2"/>
    </font>
    <font>
      <b/>
      <u val="singleAccounting"/>
      <sz val="14"/>
      <color rgb="FFFF0000"/>
      <name val="Arial"/>
      <family val="2"/>
    </font>
    <font>
      <u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b/>
      <u/>
      <sz val="18"/>
      <color rgb="FFFF0000"/>
      <name val="Arial"/>
      <family val="2"/>
    </font>
    <font>
      <b/>
      <sz val="18"/>
      <color rgb="FFFF0000"/>
      <name val="Arial"/>
      <family val="2"/>
    </font>
    <font>
      <b/>
      <sz val="18"/>
      <color theme="0"/>
      <name val="Arial"/>
      <family val="2"/>
    </font>
    <font>
      <b/>
      <sz val="18"/>
      <color theme="8"/>
      <name val="Arial"/>
      <family val="2"/>
    </font>
    <font>
      <b/>
      <sz val="20"/>
      <name val="Arial"/>
      <family val="2"/>
    </font>
    <font>
      <b/>
      <i/>
      <sz val="16"/>
      <name val="Arial"/>
      <family val="2"/>
    </font>
    <font>
      <b/>
      <sz val="16"/>
      <color theme="8"/>
      <name val="Arial"/>
      <family val="2"/>
    </font>
    <font>
      <b/>
      <u/>
      <sz val="16"/>
      <color rgb="FFFF0000"/>
      <name val="Arial"/>
      <family val="2"/>
    </font>
    <font>
      <b/>
      <u/>
      <sz val="18"/>
      <color theme="8"/>
      <name val="Arial"/>
      <family val="2"/>
    </font>
    <font>
      <b/>
      <sz val="16"/>
      <color rgb="FFFF0000"/>
      <name val="Arial"/>
      <family val="2"/>
    </font>
    <font>
      <b/>
      <u/>
      <sz val="16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u/>
      <sz val="20"/>
      <name val="Arial"/>
      <family val="2"/>
    </font>
    <font>
      <b/>
      <u/>
      <sz val="23"/>
      <name val="Arial"/>
      <family val="2"/>
    </font>
    <font>
      <b/>
      <sz val="25"/>
      <color rgb="FFFF0000"/>
      <name val="Arial"/>
      <family val="2"/>
    </font>
    <font>
      <b/>
      <sz val="18"/>
      <color theme="0" tint="-4.9989318521683403E-2"/>
      <name val="Arial"/>
      <family val="2"/>
    </font>
    <font>
      <b/>
      <sz val="22"/>
      <color theme="0" tint="-4.9989318521683403E-2"/>
      <name val="Arial"/>
      <family val="2"/>
    </font>
    <font>
      <b/>
      <sz val="15"/>
      <name val="Arial Narrow"/>
      <family val="2"/>
    </font>
    <font>
      <b/>
      <sz val="25"/>
      <color rgb="FF0070C0"/>
      <name val="Arial"/>
      <family val="2"/>
    </font>
    <font>
      <b/>
      <u/>
      <sz val="15"/>
      <name val="Arial Narrow"/>
      <family val="2"/>
    </font>
    <font>
      <b/>
      <sz val="15"/>
      <color theme="0"/>
      <name val="Arial"/>
      <family val="2"/>
    </font>
    <font>
      <b/>
      <sz val="15"/>
      <name val="Arial"/>
      <family val="2"/>
    </font>
    <font>
      <b/>
      <sz val="10"/>
      <color theme="1"/>
      <name val="Arial"/>
      <family val="2"/>
    </font>
    <font>
      <sz val="15"/>
      <name val="Arial"/>
      <family val="2"/>
    </font>
    <font>
      <b/>
      <sz val="10"/>
      <name val="Arial"/>
      <family val="2"/>
    </font>
    <font>
      <b/>
      <u/>
      <sz val="25"/>
      <name val="Arial"/>
      <family val="2"/>
    </font>
    <font>
      <b/>
      <u/>
      <sz val="15"/>
      <name val="Arial"/>
      <family val="2"/>
    </font>
    <font>
      <b/>
      <sz val="25"/>
      <name val="Arial"/>
      <family val="2"/>
    </font>
    <font>
      <b/>
      <u val="singleAccounting"/>
      <sz val="15"/>
      <name val="Arial"/>
      <family val="2"/>
    </font>
    <font>
      <b/>
      <sz val="15"/>
      <color rgb="FFFF0000"/>
      <name val="Arial"/>
      <family val="2"/>
    </font>
    <font>
      <sz val="25"/>
      <name val="Arial"/>
      <family val="2"/>
    </font>
    <font>
      <u/>
      <sz val="25"/>
      <name val="Arial"/>
      <family val="2"/>
    </font>
    <font>
      <b/>
      <u val="singleAccounting"/>
      <sz val="20"/>
      <color rgb="FFFF0000"/>
      <name val="Arial"/>
      <family val="2"/>
    </font>
    <font>
      <b/>
      <u val="singleAccounting"/>
      <sz val="25"/>
      <name val="Arial"/>
      <family val="2"/>
    </font>
    <font>
      <b/>
      <u/>
      <sz val="25"/>
      <color rgb="FFFF0000"/>
      <name val="Arial"/>
      <family val="2"/>
    </font>
    <font>
      <u/>
      <sz val="25"/>
      <color rgb="FFFF0000"/>
      <name val="Arial"/>
      <family val="2"/>
    </font>
    <font>
      <u/>
      <sz val="15"/>
      <color rgb="FFFF0000"/>
      <name val="Arial"/>
      <family val="2"/>
    </font>
    <font>
      <b/>
      <u/>
      <sz val="20"/>
      <color rgb="FFFF0000"/>
      <name val="Arial"/>
      <family val="2"/>
    </font>
    <font>
      <b/>
      <sz val="20"/>
      <color rgb="FFFF0000"/>
      <name val="Arial"/>
      <family val="2"/>
    </font>
    <font>
      <b/>
      <u/>
      <sz val="15"/>
      <color rgb="FFFF0000"/>
      <name val="Arial"/>
      <family val="2"/>
    </font>
    <font>
      <b/>
      <u val="singleAccounting"/>
      <sz val="18"/>
      <name val="Arial"/>
      <family val="2"/>
    </font>
    <font>
      <b/>
      <i/>
      <sz val="20"/>
      <color rgb="FFFF0000"/>
      <name val="Arial"/>
      <family val="2"/>
    </font>
    <font>
      <b/>
      <u val="singleAccounting"/>
      <sz val="30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u/>
      <sz val="12"/>
      <color rgb="FFFF0000"/>
      <name val="Arial"/>
      <family val="2"/>
    </font>
    <font>
      <b/>
      <u/>
      <sz val="12"/>
      <name val="Arial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 val="singleAccounting"/>
      <sz val="14"/>
      <color theme="8"/>
      <name val="Arial"/>
      <family val="2"/>
    </font>
    <font>
      <b/>
      <sz val="18"/>
      <color theme="1"/>
      <name val="Calibri"/>
      <family val="2"/>
      <scheme val="minor"/>
    </font>
    <font>
      <sz val="14"/>
      <color theme="8"/>
      <name val="Arial"/>
      <family val="2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2"/>
      <color rgb="FF00206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BC1C8"/>
        <bgColor indexed="64"/>
      </patternFill>
    </fill>
    <fill>
      <patternFill patternType="solid">
        <fgColor rgb="FFF34358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8" fillId="0" borderId="0" applyNumberFormat="0" applyFill="0" applyBorder="0" applyAlignment="0" applyProtection="0"/>
  </cellStyleXfs>
  <cellXfs count="639">
    <xf numFmtId="0" fontId="0" fillId="0" borderId="0" xfId="0"/>
    <xf numFmtId="164" fontId="2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164" fontId="5" fillId="4" borderId="0" xfId="0" applyNumberFormat="1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7" fontId="4" fillId="0" borderId="0" xfId="2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169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70" fontId="5" fillId="2" borderId="0" xfId="0" applyNumberFormat="1" applyFont="1" applyFill="1" applyAlignment="1">
      <alignment horizontal="right" vertical="center"/>
    </xf>
    <xf numFmtId="170" fontId="5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5" fillId="3" borderId="0" xfId="0" applyNumberFormat="1" applyFont="1" applyFill="1" applyAlignment="1">
      <alignment horizontal="center" vertical="center" wrapText="1"/>
    </xf>
    <xf numFmtId="169" fontId="5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172" fontId="5" fillId="3" borderId="0" xfId="0" applyNumberFormat="1" applyFont="1" applyFill="1" applyAlignment="1">
      <alignment horizontal="center" vertical="center" wrapText="1"/>
    </xf>
    <xf numFmtId="166" fontId="5" fillId="4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166" fontId="5" fillId="7" borderId="0" xfId="0" applyNumberFormat="1" applyFont="1" applyFill="1" applyAlignment="1">
      <alignment horizontal="center" vertical="center" wrapText="1"/>
    </xf>
    <xf numFmtId="169" fontId="5" fillId="7" borderId="0" xfId="0" applyNumberFormat="1" applyFont="1" applyFill="1" applyAlignment="1">
      <alignment horizontal="center" vertical="center" wrapText="1"/>
    </xf>
    <xf numFmtId="7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/>
    </xf>
    <xf numFmtId="166" fontId="8" fillId="3" borderId="0" xfId="0" applyNumberFormat="1" applyFont="1" applyFill="1" applyAlignment="1">
      <alignment horizontal="center" vertical="center" wrapText="1"/>
    </xf>
    <xf numFmtId="169" fontId="8" fillId="3" borderId="0" xfId="0" applyNumberFormat="1" applyFont="1" applyFill="1" applyAlignment="1">
      <alignment horizontal="center" vertical="center" wrapText="1"/>
    </xf>
    <xf numFmtId="43" fontId="9" fillId="9" borderId="0" xfId="0" applyNumberFormat="1" applyFont="1" applyFill="1" applyAlignment="1">
      <alignment vertical="center"/>
    </xf>
    <xf numFmtId="166" fontId="10" fillId="10" borderId="0" xfId="0" applyNumberFormat="1" applyFont="1" applyFill="1" applyAlignment="1">
      <alignment horizontal="center" vertical="center" wrapText="1"/>
    </xf>
    <xf numFmtId="169" fontId="10" fillId="10" borderId="0" xfId="0" applyNumberFormat="1" applyFont="1" applyFill="1" applyAlignment="1">
      <alignment horizontal="center" vertical="center" wrapText="1"/>
    </xf>
    <xf numFmtId="166" fontId="8" fillId="6" borderId="0" xfId="0" applyNumberFormat="1" applyFont="1" applyFill="1" applyAlignment="1">
      <alignment horizontal="center" vertical="center" wrapText="1"/>
    </xf>
    <xf numFmtId="169" fontId="8" fillId="6" borderId="0" xfId="0" applyNumberFormat="1" applyFont="1" applyFill="1" applyAlignment="1">
      <alignment horizontal="center" vertical="center" wrapText="1"/>
    </xf>
    <xf numFmtId="166" fontId="10" fillId="4" borderId="0" xfId="0" applyNumberFormat="1" applyFont="1" applyFill="1" applyAlignment="1">
      <alignment horizontal="center" vertical="center" wrapText="1"/>
    </xf>
    <xf numFmtId="169" fontId="10" fillId="4" borderId="0" xfId="0" applyNumberFormat="1" applyFont="1" applyFill="1" applyAlignment="1">
      <alignment horizontal="center" vertical="center" wrapText="1"/>
    </xf>
    <xf numFmtId="166" fontId="8" fillId="4" borderId="0" xfId="0" applyNumberFormat="1" applyFont="1" applyFill="1" applyAlignment="1">
      <alignment horizontal="center" vertical="center" wrapText="1"/>
    </xf>
    <xf numFmtId="169" fontId="8" fillId="4" borderId="0" xfId="0" applyNumberFormat="1" applyFont="1" applyFill="1" applyAlignment="1">
      <alignment horizontal="center" vertical="center" wrapText="1"/>
    </xf>
    <xf numFmtId="166" fontId="5" fillId="11" borderId="0" xfId="0" applyNumberFormat="1" applyFont="1" applyFill="1" applyAlignment="1">
      <alignment horizontal="center" vertical="center" wrapText="1"/>
    </xf>
    <xf numFmtId="169" fontId="5" fillId="11" borderId="0" xfId="0" applyNumberFormat="1" applyFont="1" applyFill="1" applyAlignment="1">
      <alignment horizontal="center" vertical="center" wrapText="1"/>
    </xf>
    <xf numFmtId="169" fontId="5" fillId="4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43" fontId="4" fillId="0" borderId="0" xfId="1" applyFont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71" fontId="10" fillId="0" borderId="0" xfId="0" applyNumberFormat="1" applyFont="1" applyAlignment="1">
      <alignment horizontal="center" vertical="center" wrapText="1"/>
    </xf>
    <xf numFmtId="174" fontId="10" fillId="0" borderId="0" xfId="1" applyNumberFormat="1" applyFont="1" applyAlignment="1">
      <alignment horizontal="right" vertical="center"/>
    </xf>
    <xf numFmtId="165" fontId="10" fillId="0" borderId="0" xfId="1" applyNumberFormat="1" applyFont="1" applyAlignment="1">
      <alignment horizontal="right" vertical="center"/>
    </xf>
    <xf numFmtId="37" fontId="8" fillId="0" borderId="0" xfId="1" applyNumberFormat="1" applyFont="1" applyFill="1" applyBorder="1" applyAlignment="1" applyProtection="1">
      <alignment horizontal="center" vertical="center" wrapText="1"/>
    </xf>
    <xf numFmtId="174" fontId="10" fillId="0" borderId="0" xfId="1" applyNumberFormat="1" applyFont="1" applyAlignment="1">
      <alignment vertical="center"/>
    </xf>
    <xf numFmtId="165" fontId="10" fillId="0" borderId="0" xfId="1" applyNumberFormat="1" applyFont="1" applyAlignment="1">
      <alignment vertical="center"/>
    </xf>
    <xf numFmtId="171" fontId="4" fillId="0" borderId="0" xfId="0" applyNumberFormat="1" applyFont="1" applyAlignment="1">
      <alignment vertical="center"/>
    </xf>
    <xf numFmtId="171" fontId="4" fillId="0" borderId="0" xfId="2" applyNumberFormat="1" applyFont="1" applyAlignment="1">
      <alignment vertical="center"/>
    </xf>
    <xf numFmtId="171" fontId="4" fillId="4" borderId="0" xfId="2" applyNumberFormat="1" applyFont="1" applyFill="1" applyAlignment="1">
      <alignment vertical="center"/>
    </xf>
    <xf numFmtId="0" fontId="5" fillId="5" borderId="2" xfId="0" applyFont="1" applyFill="1" applyBorder="1" applyAlignment="1">
      <alignment vertical="center"/>
    </xf>
    <xf numFmtId="174" fontId="7" fillId="5" borderId="2" xfId="1" applyNumberFormat="1" applyFont="1" applyFill="1" applyBorder="1" applyAlignment="1" applyProtection="1">
      <alignment horizontal="center" vertical="center"/>
    </xf>
    <xf numFmtId="165" fontId="3" fillId="5" borderId="2" xfId="1" applyNumberFormat="1" applyFont="1" applyFill="1" applyBorder="1" applyAlignment="1" applyProtection="1">
      <alignment horizontal="center" vertical="center"/>
    </xf>
    <xf numFmtId="171" fontId="5" fillId="5" borderId="2" xfId="0" applyNumberFormat="1" applyFont="1" applyFill="1" applyBorder="1" applyAlignment="1">
      <alignment vertical="center"/>
    </xf>
    <xf numFmtId="174" fontId="7" fillId="5" borderId="2" xfId="1" applyNumberFormat="1" applyFont="1" applyFill="1" applyBorder="1" applyAlignment="1" applyProtection="1">
      <alignment vertical="center"/>
    </xf>
    <xf numFmtId="165" fontId="3" fillId="5" borderId="2" xfId="1" applyNumberFormat="1" applyFont="1" applyFill="1" applyBorder="1" applyAlignment="1" applyProtection="1">
      <alignment vertical="center"/>
    </xf>
    <xf numFmtId="174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2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vertical="center"/>
    </xf>
    <xf numFmtId="9" fontId="4" fillId="0" borderId="0" xfId="2" applyFont="1" applyAlignment="1">
      <alignment vertical="center"/>
    </xf>
    <xf numFmtId="10" fontId="4" fillId="0" borderId="0" xfId="2" applyNumberFormat="1" applyFont="1" applyAlignment="1">
      <alignment vertical="center"/>
    </xf>
    <xf numFmtId="170" fontId="2" fillId="2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3" fontId="5" fillId="4" borderId="0" xfId="0" applyNumberFormat="1" applyFont="1" applyFill="1" applyAlignment="1">
      <alignment horizontal="center"/>
    </xf>
    <xf numFmtId="1" fontId="10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5" fontId="13" fillId="5" borderId="0" xfId="1" applyNumberFormat="1" applyFont="1" applyFill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6" borderId="0" xfId="0" applyNumberFormat="1" applyFont="1" applyFill="1" applyAlignment="1">
      <alignment horizontal="center"/>
    </xf>
    <xf numFmtId="166" fontId="5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38" fontId="5" fillId="5" borderId="2" xfId="0" applyNumberFormat="1" applyFont="1" applyFill="1" applyBorder="1" applyAlignment="1">
      <alignment horizontal="center"/>
    </xf>
    <xf numFmtId="164" fontId="5" fillId="5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0" fontId="5" fillId="12" borderId="2" xfId="0" applyNumberFormat="1" applyFont="1" applyFill="1" applyBorder="1" applyAlignment="1">
      <alignment horizontal="center" vertical="center"/>
    </xf>
    <xf numFmtId="40" fontId="5" fillId="4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164" fontId="5" fillId="5" borderId="2" xfId="0" applyNumberFormat="1" applyFont="1" applyFill="1" applyBorder="1" applyAlignment="1">
      <alignment horizontal="center"/>
    </xf>
    <xf numFmtId="9" fontId="4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5" fontId="2" fillId="2" borderId="0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vertical="center"/>
    </xf>
    <xf numFmtId="165" fontId="5" fillId="0" borderId="0" xfId="1" applyNumberFormat="1" applyFont="1" applyFill="1" applyBorder="1" applyAlignment="1" applyProtection="1">
      <alignment horizontal="center"/>
    </xf>
    <xf numFmtId="0" fontId="15" fillId="0" borderId="0" xfId="0" applyFont="1"/>
    <xf numFmtId="3" fontId="5" fillId="3" borderId="0" xfId="0" applyNumberFormat="1" applyFont="1" applyFill="1" applyAlignment="1">
      <alignment horizontal="center" vertical="center"/>
    </xf>
    <xf numFmtId="165" fontId="5" fillId="4" borderId="0" xfId="1" applyNumberFormat="1" applyFont="1" applyFill="1" applyBorder="1" applyAlignment="1" applyProtection="1">
      <alignment horizontal="center" vertical="center"/>
    </xf>
    <xf numFmtId="165" fontId="5" fillId="4" borderId="0" xfId="1" applyNumberFormat="1" applyFont="1" applyFill="1" applyBorder="1" applyAlignment="1" applyProtection="1">
      <alignment horizontal="center"/>
    </xf>
    <xf numFmtId="3" fontId="5" fillId="4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/>
    </xf>
    <xf numFmtId="164" fontId="5" fillId="3" borderId="0" xfId="0" applyNumberFormat="1" applyFont="1" applyFill="1" applyAlignment="1">
      <alignment horizontal="center" vertical="center"/>
    </xf>
    <xf numFmtId="165" fontId="10" fillId="0" borderId="0" xfId="1" applyNumberFormat="1" applyFont="1" applyFill="1" applyBorder="1" applyAlignment="1" applyProtection="1">
      <alignment horizontal="center"/>
    </xf>
    <xf numFmtId="165" fontId="6" fillId="0" borderId="0" xfId="1" applyNumberFormat="1" applyFont="1" applyAlignment="1">
      <alignment horizontal="center"/>
    </xf>
    <xf numFmtId="166" fontId="6" fillId="5" borderId="0" xfId="0" applyNumberFormat="1" applyFont="1" applyFill="1" applyAlignment="1">
      <alignment horizontal="center" vertical="center"/>
    </xf>
    <xf numFmtId="10" fontId="5" fillId="0" borderId="0" xfId="2" applyNumberFormat="1" applyFont="1" applyAlignment="1">
      <alignment vertical="center"/>
    </xf>
    <xf numFmtId="166" fontId="11" fillId="0" borderId="0" xfId="0" applyNumberFormat="1" applyFont="1" applyAlignment="1">
      <alignment horizontal="center" vertical="center" wrapText="1"/>
    </xf>
    <xf numFmtId="164" fontId="6" fillId="5" borderId="0" xfId="0" applyNumberFormat="1" applyFont="1" applyFill="1" applyAlignment="1">
      <alignment vertical="center"/>
    </xf>
    <xf numFmtId="165" fontId="13" fillId="5" borderId="0" xfId="1" applyNumberFormat="1" applyFont="1" applyFill="1" applyAlignment="1">
      <alignment horizontal="center" vertical="center"/>
    </xf>
    <xf numFmtId="171" fontId="10" fillId="4" borderId="0" xfId="0" applyNumberFormat="1" applyFont="1" applyFill="1" applyAlignment="1">
      <alignment horizontal="center"/>
    </xf>
    <xf numFmtId="9" fontId="3" fillId="0" borderId="0" xfId="0" applyNumberFormat="1" applyFont="1" applyAlignment="1">
      <alignment vertical="center"/>
    </xf>
    <xf numFmtId="166" fontId="3" fillId="5" borderId="0" xfId="0" applyNumberFormat="1" applyFont="1" applyFill="1" applyAlignment="1">
      <alignment horizontal="center" vertical="center"/>
    </xf>
    <xf numFmtId="164" fontId="4" fillId="6" borderId="0" xfId="0" applyNumberFormat="1" applyFont="1" applyFill="1" applyAlignment="1">
      <alignment vertical="center"/>
    </xf>
    <xf numFmtId="165" fontId="5" fillId="6" borderId="0" xfId="1" applyNumberFormat="1" applyFont="1" applyFill="1" applyBorder="1" applyAlignment="1" applyProtection="1">
      <alignment horizontal="center"/>
    </xf>
    <xf numFmtId="166" fontId="3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165" fontId="5" fillId="5" borderId="1" xfId="1" applyNumberFormat="1" applyFont="1" applyFill="1" applyBorder="1" applyAlignment="1" applyProtection="1">
      <alignment horizontal="center"/>
    </xf>
    <xf numFmtId="166" fontId="5" fillId="5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horizontal="center" vertical="center"/>
    </xf>
    <xf numFmtId="166" fontId="5" fillId="5" borderId="0" xfId="0" applyNumberFormat="1" applyFont="1" applyFill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9" fontId="5" fillId="3" borderId="0" xfId="2" applyFont="1" applyFill="1" applyAlignment="1">
      <alignment vertical="center"/>
    </xf>
    <xf numFmtId="165" fontId="5" fillId="5" borderId="2" xfId="1" applyNumberFormat="1" applyFont="1" applyFill="1" applyBorder="1" applyAlignment="1" applyProtection="1">
      <alignment horizontal="center"/>
    </xf>
    <xf numFmtId="166" fontId="5" fillId="5" borderId="2" xfId="0" applyNumberFormat="1" applyFont="1" applyFill="1" applyBorder="1" applyAlignment="1">
      <alignment horizontal="center"/>
    </xf>
    <xf numFmtId="0" fontId="10" fillId="3" borderId="0" xfId="2" applyNumberFormat="1" applyFont="1" applyFill="1" applyAlignment="1">
      <alignment horizontal="center"/>
    </xf>
    <xf numFmtId="165" fontId="5" fillId="3" borderId="0" xfId="1" applyNumberFormat="1" applyFont="1" applyFill="1" applyBorder="1" applyAlignment="1" applyProtection="1">
      <alignment horizontal="center"/>
    </xf>
    <xf numFmtId="166" fontId="5" fillId="3" borderId="0" xfId="0" applyNumberFormat="1" applyFont="1" applyFill="1" applyAlignment="1">
      <alignment horizontal="center"/>
    </xf>
    <xf numFmtId="166" fontId="5" fillId="8" borderId="0" xfId="0" applyNumberFormat="1" applyFont="1" applyFill="1" applyAlignment="1">
      <alignment horizontal="center"/>
    </xf>
    <xf numFmtId="165" fontId="5" fillId="0" borderId="0" xfId="1" applyNumberFormat="1" applyFont="1" applyAlignment="1">
      <alignment horizontal="center"/>
    </xf>
    <xf numFmtId="165" fontId="5" fillId="12" borderId="2" xfId="1" applyNumberFormat="1" applyFont="1" applyFill="1" applyBorder="1" applyAlignment="1" applyProtection="1">
      <alignment horizontal="center" vertical="center"/>
    </xf>
    <xf numFmtId="38" fontId="5" fillId="12" borderId="2" xfId="0" applyNumberFormat="1" applyFont="1" applyFill="1" applyBorder="1" applyAlignment="1">
      <alignment horizontal="center" vertical="center"/>
    </xf>
    <xf numFmtId="173" fontId="5" fillId="4" borderId="0" xfId="0" applyNumberFormat="1" applyFont="1" applyFill="1" applyAlignment="1">
      <alignment horizontal="center" vertical="center"/>
    </xf>
    <xf numFmtId="173" fontId="3" fillId="4" borderId="0" xfId="0" applyNumberFormat="1" applyFont="1" applyFill="1" applyAlignment="1">
      <alignment horizontal="center" vertical="center"/>
    </xf>
    <xf numFmtId="38" fontId="5" fillId="5" borderId="0" xfId="0" applyNumberFormat="1" applyFont="1" applyFill="1" applyAlignment="1">
      <alignment horizontal="center" vertical="center"/>
    </xf>
    <xf numFmtId="40" fontId="5" fillId="0" borderId="0" xfId="0" applyNumberFormat="1" applyFont="1" applyAlignment="1">
      <alignment horizontal="center"/>
    </xf>
    <xf numFmtId="0" fontId="7" fillId="13" borderId="0" xfId="0" applyFont="1" applyFill="1" applyAlignment="1">
      <alignment horizontal="center" vertical="center"/>
    </xf>
    <xf numFmtId="9" fontId="5" fillId="0" borderId="0" xfId="2" applyFont="1" applyAlignment="1">
      <alignment horizontal="center" vertical="center"/>
    </xf>
    <xf numFmtId="38" fontId="5" fillId="0" borderId="0" xfId="0" applyNumberFormat="1" applyFont="1" applyAlignment="1">
      <alignment horizontal="center"/>
    </xf>
    <xf numFmtId="9" fontId="5" fillId="0" borderId="0" xfId="2" applyFont="1" applyAlignment="1">
      <alignment horizontal="center"/>
    </xf>
    <xf numFmtId="165" fontId="7" fillId="13" borderId="0" xfId="1" applyNumberFormat="1" applyFont="1" applyFill="1" applyAlignment="1">
      <alignment horizontal="center"/>
    </xf>
    <xf numFmtId="0" fontId="3" fillId="14" borderId="0" xfId="0" applyFont="1" applyFill="1" applyAlignment="1">
      <alignment horizontal="center" vertical="center"/>
    </xf>
    <xf numFmtId="169" fontId="5" fillId="0" borderId="0" xfId="0" applyNumberFormat="1" applyFont="1" applyAlignment="1">
      <alignment horizontal="center"/>
    </xf>
    <xf numFmtId="175" fontId="5" fillId="0" borderId="0" xfId="0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3" borderId="0" xfId="1" applyNumberFormat="1" applyFont="1" applyFill="1" applyAlignment="1">
      <alignment horizontal="center"/>
    </xf>
    <xf numFmtId="165" fontId="3" fillId="14" borderId="0" xfId="0" applyNumberFormat="1" applyFont="1" applyFill="1" applyAlignment="1">
      <alignment horizontal="center" vertical="center"/>
    </xf>
    <xf numFmtId="38" fontId="7" fillId="4" borderId="0" xfId="0" applyNumberFormat="1" applyFont="1" applyFill="1" applyAlignment="1">
      <alignment horizontal="center"/>
    </xf>
    <xf numFmtId="166" fontId="7" fillId="4" borderId="0" xfId="0" applyNumberFormat="1" applyFont="1" applyFill="1" applyAlignment="1">
      <alignment horizontal="center"/>
    </xf>
    <xf numFmtId="174" fontId="10" fillId="4" borderId="0" xfId="0" applyNumberFormat="1" applyFont="1" applyFill="1" applyAlignment="1">
      <alignment horizontal="center"/>
    </xf>
    <xf numFmtId="0" fontId="18" fillId="2" borderId="2" xfId="0" applyFont="1" applyFill="1" applyBorder="1" applyAlignment="1">
      <alignment horizontal="center" vertical="center"/>
    </xf>
    <xf numFmtId="38" fontId="18" fillId="2" borderId="2" xfId="0" applyNumberFormat="1" applyFont="1" applyFill="1" applyBorder="1" applyAlignment="1">
      <alignment horizontal="center" vertical="center"/>
    </xf>
    <xf numFmtId="43" fontId="18" fillId="2" borderId="2" xfId="0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 applyProtection="1">
      <alignment horizontal="center"/>
    </xf>
    <xf numFmtId="166" fontId="5" fillId="2" borderId="2" xfId="0" applyNumberFormat="1" applyFont="1" applyFill="1" applyBorder="1" applyAlignment="1">
      <alignment horizontal="center" vertical="center"/>
    </xf>
    <xf numFmtId="173" fontId="3" fillId="4" borderId="0" xfId="0" applyNumberFormat="1" applyFont="1" applyFill="1" applyAlignment="1">
      <alignment vertical="top" wrapText="1"/>
    </xf>
    <xf numFmtId="166" fontId="5" fillId="5" borderId="2" xfId="0" applyNumberFormat="1" applyFont="1" applyFill="1" applyBorder="1" applyAlignment="1">
      <alignment horizontal="center" vertical="center"/>
    </xf>
    <xf numFmtId="38" fontId="19" fillId="0" borderId="0" xfId="0" applyNumberFormat="1" applyFont="1" applyAlignment="1">
      <alignment horizontal="center" vertical="center"/>
    </xf>
    <xf numFmtId="0" fontId="4" fillId="0" borderId="0" xfId="0" applyFont="1"/>
    <xf numFmtId="38" fontId="19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38" fontId="20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1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166" fontId="5" fillId="0" borderId="0" xfId="2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174" fontId="5" fillId="0" borderId="0" xfId="1" applyNumberFormat="1" applyFont="1" applyAlignment="1">
      <alignment horizontal="center" vertical="center"/>
    </xf>
    <xf numFmtId="167" fontId="5" fillId="0" borderId="0" xfId="2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/>
    </xf>
    <xf numFmtId="165" fontId="5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5" fontId="5" fillId="8" borderId="0" xfId="0" applyNumberFormat="1" applyFont="1" applyFill="1" applyAlignment="1">
      <alignment horizontal="center" vertical="center"/>
    </xf>
    <xf numFmtId="165" fontId="5" fillId="4" borderId="0" xfId="1" applyNumberFormat="1" applyFont="1" applyFill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9" fillId="0" borderId="0" xfId="1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43" fontId="5" fillId="0" borderId="0" xfId="0" applyNumberFormat="1" applyFont="1" applyAlignment="1">
      <alignment horizontal="center" vertical="center"/>
    </xf>
    <xf numFmtId="165" fontId="23" fillId="8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71" fontId="5" fillId="0" borderId="0" xfId="0" applyNumberFormat="1" applyFont="1" applyAlignment="1">
      <alignment horizontal="center" vertical="center"/>
    </xf>
    <xf numFmtId="43" fontId="5" fillId="0" borderId="0" xfId="1" applyFont="1" applyAlignment="1">
      <alignment horizontal="left" vertical="center"/>
    </xf>
    <xf numFmtId="165" fontId="5" fillId="0" borderId="0" xfId="1" applyNumberFormat="1" applyFont="1" applyAlignment="1">
      <alignment horizontal="left" vertical="center"/>
    </xf>
    <xf numFmtId="168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9" fillId="3" borderId="0" xfId="0" applyNumberFormat="1" applyFont="1" applyFill="1" applyAlignment="1">
      <alignment horizontal="center"/>
    </xf>
    <xf numFmtId="165" fontId="14" fillId="0" borderId="0" xfId="1" applyNumberFormat="1" applyFont="1" applyAlignment="1">
      <alignment vertical="center"/>
    </xf>
    <xf numFmtId="165" fontId="2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8" fillId="0" borderId="0" xfId="0" applyFont="1"/>
    <xf numFmtId="3" fontId="31" fillId="3" borderId="0" xfId="0" applyNumberFormat="1" applyFont="1" applyFill="1" applyAlignment="1">
      <alignment horizontal="center" vertical="center"/>
    </xf>
    <xf numFmtId="165" fontId="27" fillId="4" borderId="0" xfId="1" applyNumberFormat="1" applyFont="1" applyFill="1" applyBorder="1" applyAlignment="1" applyProtection="1">
      <alignment horizontal="center" vertical="center"/>
    </xf>
    <xf numFmtId="0" fontId="32" fillId="0" borderId="0" xfId="0" applyFont="1" applyAlignment="1">
      <alignment vertical="center"/>
    </xf>
    <xf numFmtId="164" fontId="27" fillId="3" borderId="0" xfId="0" applyNumberFormat="1" applyFont="1" applyFill="1" applyAlignment="1">
      <alignment horizontal="center" vertical="center"/>
    </xf>
    <xf numFmtId="166" fontId="38" fillId="0" borderId="0" xfId="0" applyNumberFormat="1" applyFont="1" applyAlignment="1">
      <alignment horizontal="center" vertical="center" wrapText="1"/>
    </xf>
    <xf numFmtId="164" fontId="39" fillId="5" borderId="0" xfId="0" applyNumberFormat="1" applyFont="1" applyFill="1" applyAlignment="1">
      <alignment vertical="center"/>
    </xf>
    <xf numFmtId="165" fontId="41" fillId="5" borderId="0" xfId="1" applyNumberFormat="1" applyFont="1" applyFill="1" applyAlignment="1">
      <alignment horizontal="center"/>
    </xf>
    <xf numFmtId="165" fontId="41" fillId="5" borderId="0" xfId="1" applyNumberFormat="1" applyFont="1" applyFill="1" applyAlignment="1">
      <alignment horizontal="center" vertical="center"/>
    </xf>
    <xf numFmtId="164" fontId="32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4" fontId="32" fillId="6" borderId="0" xfId="0" applyNumberFormat="1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1" fillId="5" borderId="1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31" fillId="5" borderId="2" xfId="0" applyFont="1" applyFill="1" applyBorder="1" applyAlignment="1">
      <alignment vertical="center"/>
    </xf>
    <xf numFmtId="0" fontId="27" fillId="5" borderId="2" xfId="0" applyFont="1" applyFill="1" applyBorder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165" fontId="33" fillId="13" borderId="0" xfId="1" applyNumberFormat="1" applyFont="1" applyFill="1" applyAlignment="1">
      <alignment horizontal="center"/>
    </xf>
    <xf numFmtId="165" fontId="27" fillId="3" borderId="0" xfId="1" applyNumberFormat="1" applyFont="1" applyFill="1" applyAlignment="1">
      <alignment horizontal="center"/>
    </xf>
    <xf numFmtId="164" fontId="54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6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55" fillId="0" borderId="0" xfId="0" applyFont="1" applyAlignment="1">
      <alignment horizontal="center" vertical="center"/>
    </xf>
    <xf numFmtId="0" fontId="59" fillId="3" borderId="0" xfId="0" applyFont="1" applyFill="1" applyAlignment="1">
      <alignment vertical="center"/>
    </xf>
    <xf numFmtId="0" fontId="59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165" fontId="61" fillId="0" borderId="0" xfId="1" applyNumberFormat="1" applyFont="1" applyAlignment="1">
      <alignment horizontal="center" vertical="center"/>
    </xf>
    <xf numFmtId="165" fontId="61" fillId="4" borderId="0" xfId="1" applyNumberFormat="1" applyFont="1" applyFill="1" applyAlignment="1">
      <alignment horizontal="center" vertical="center"/>
    </xf>
    <xf numFmtId="165" fontId="55" fillId="0" borderId="0" xfId="1" applyNumberFormat="1" applyFont="1" applyAlignment="1">
      <alignment horizontal="center" vertical="center"/>
    </xf>
    <xf numFmtId="165" fontId="62" fillId="0" borderId="0" xfId="1" applyNumberFormat="1" applyFont="1" applyAlignment="1">
      <alignment horizontal="center" vertical="center"/>
    </xf>
    <xf numFmtId="0" fontId="64" fillId="0" borderId="0" xfId="0" applyFont="1" applyAlignment="1">
      <alignment vertical="center"/>
    </xf>
    <xf numFmtId="165" fontId="47" fillId="4" borderId="0" xfId="1" applyNumberFormat="1" applyFont="1" applyFill="1" applyBorder="1" applyAlignment="1" applyProtection="1">
      <alignment horizontal="center" vertical="center"/>
    </xf>
    <xf numFmtId="165" fontId="0" fillId="0" borderId="0" xfId="1" applyNumberFormat="1" applyFont="1" applyAlignment="1">
      <alignment vertical="center"/>
    </xf>
    <xf numFmtId="165" fontId="27" fillId="0" borderId="0" xfId="1" applyNumberFormat="1" applyFont="1" applyFill="1" applyBorder="1" applyAlignment="1" applyProtection="1">
      <alignment horizontal="center"/>
    </xf>
    <xf numFmtId="165" fontId="27" fillId="0" borderId="0" xfId="1" applyNumberFormat="1" applyFont="1" applyFill="1" applyBorder="1" applyAlignment="1" applyProtection="1">
      <alignment horizontal="center" vertical="center"/>
    </xf>
    <xf numFmtId="165" fontId="31" fillId="0" borderId="0" xfId="1" applyNumberFormat="1" applyFont="1" applyFill="1" applyBorder="1" applyAlignment="1" applyProtection="1">
      <alignment horizontal="center" vertical="center" wrapText="1"/>
    </xf>
    <xf numFmtId="165" fontId="32" fillId="0" borderId="0" xfId="1" applyNumberFormat="1" applyFont="1" applyAlignment="1">
      <alignment vertical="center"/>
    </xf>
    <xf numFmtId="165" fontId="27" fillId="4" borderId="0" xfId="1" applyNumberFormat="1" applyFont="1" applyFill="1" applyBorder="1" applyAlignment="1" applyProtection="1">
      <alignment horizontal="center"/>
    </xf>
    <xf numFmtId="165" fontId="27" fillId="3" borderId="0" xfId="1" applyNumberFormat="1" applyFont="1" applyFill="1" applyBorder="1" applyAlignment="1" applyProtection="1">
      <alignment horizontal="center"/>
    </xf>
    <xf numFmtId="165" fontId="34" fillId="0" borderId="0" xfId="1" applyNumberFormat="1" applyFont="1" applyFill="1" applyBorder="1" applyAlignment="1" applyProtection="1">
      <alignment horizontal="center"/>
    </xf>
    <xf numFmtId="165" fontId="35" fillId="2" borderId="0" xfId="1" applyNumberFormat="1" applyFont="1" applyFill="1" applyAlignment="1">
      <alignment horizontal="center" vertical="center"/>
    </xf>
    <xf numFmtId="165" fontId="35" fillId="2" borderId="0" xfId="1" applyNumberFormat="1" applyFont="1" applyFill="1" applyBorder="1" applyAlignment="1" applyProtection="1">
      <alignment horizontal="center"/>
    </xf>
    <xf numFmtId="165" fontId="36" fillId="0" borderId="0" xfId="1" applyNumberFormat="1" applyFont="1" applyAlignment="1">
      <alignment horizontal="center"/>
    </xf>
    <xf numFmtId="165" fontId="36" fillId="5" borderId="0" xfId="1" applyNumberFormat="1" applyFont="1" applyFill="1" applyBorder="1" applyAlignment="1" applyProtection="1">
      <alignment horizontal="center" vertical="center"/>
    </xf>
    <xf numFmtId="165" fontId="37" fillId="0" borderId="0" xfId="1" applyNumberFormat="1" applyFont="1" applyAlignment="1">
      <alignment vertical="center"/>
    </xf>
    <xf numFmtId="165" fontId="38" fillId="0" borderId="0" xfId="1" applyNumberFormat="1" applyFont="1" applyFill="1" applyBorder="1" applyAlignment="1" applyProtection="1">
      <alignment horizontal="center" vertical="center" wrapText="1"/>
    </xf>
    <xf numFmtId="165" fontId="42" fillId="4" borderId="0" xfId="1" applyNumberFormat="1" applyFont="1" applyFill="1" applyBorder="1" applyAlignment="1" applyProtection="1">
      <alignment horizontal="center"/>
    </xf>
    <xf numFmtId="165" fontId="43" fillId="0" borderId="0" xfId="1" applyNumberFormat="1" applyFont="1" applyAlignment="1">
      <alignment vertical="center"/>
    </xf>
    <xf numFmtId="165" fontId="44" fillId="5" borderId="0" xfId="1" applyNumberFormat="1" applyFont="1" applyFill="1" applyBorder="1" applyAlignment="1" applyProtection="1">
      <alignment horizontal="center" vertical="center"/>
    </xf>
    <xf numFmtId="165" fontId="27" fillId="6" borderId="0" xfId="1" applyNumberFormat="1" applyFont="1" applyFill="1" applyBorder="1" applyAlignment="1" applyProtection="1">
      <alignment horizontal="center"/>
    </xf>
    <xf numFmtId="165" fontId="44" fillId="6" borderId="0" xfId="1" applyNumberFormat="1" applyFont="1" applyFill="1" applyBorder="1" applyAlignment="1" applyProtection="1">
      <alignment horizontal="center" vertical="center"/>
    </xf>
    <xf numFmtId="165" fontId="32" fillId="6" borderId="0" xfId="1" applyNumberFormat="1" applyFont="1" applyFill="1" applyAlignment="1">
      <alignment vertical="center"/>
    </xf>
    <xf numFmtId="165" fontId="27" fillId="5" borderId="1" xfId="1" applyNumberFormat="1" applyFont="1" applyFill="1" applyBorder="1" applyAlignment="1" applyProtection="1">
      <alignment horizontal="center"/>
    </xf>
    <xf numFmtId="165" fontId="27" fillId="5" borderId="1" xfId="1" applyNumberFormat="1" applyFont="1" applyFill="1" applyBorder="1" applyAlignment="1" applyProtection="1">
      <alignment horizontal="center" vertical="center"/>
    </xf>
    <xf numFmtId="165" fontId="32" fillId="0" borderId="0" xfId="1" applyNumberFormat="1" applyFont="1" applyFill="1" applyBorder="1" applyAlignment="1" applyProtection="1">
      <alignment vertical="top" wrapText="1"/>
    </xf>
    <xf numFmtId="165" fontId="27" fillId="5" borderId="0" xfId="1" applyNumberFormat="1" applyFont="1" applyFill="1" applyBorder="1" applyAlignment="1" applyProtection="1">
      <alignment horizontal="center" vertical="center"/>
    </xf>
    <xf numFmtId="165" fontId="45" fillId="0" borderId="0" xfId="1" applyNumberFormat="1" applyFont="1" applyAlignment="1">
      <alignment horizontal="center"/>
    </xf>
    <xf numFmtId="165" fontId="27" fillId="0" borderId="0" xfId="1" applyNumberFormat="1" applyFont="1" applyAlignment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 wrapText="1"/>
    </xf>
    <xf numFmtId="165" fontId="31" fillId="3" borderId="0" xfId="1" applyNumberFormat="1" applyFont="1" applyFill="1" applyAlignment="1">
      <alignment vertical="center"/>
    </xf>
    <xf numFmtId="165" fontId="27" fillId="5" borderId="2" xfId="1" applyNumberFormat="1" applyFont="1" applyFill="1" applyBorder="1" applyAlignment="1" applyProtection="1">
      <alignment horizontal="center"/>
    </xf>
    <xf numFmtId="165" fontId="34" fillId="3" borderId="0" xfId="1" applyNumberFormat="1" applyFont="1" applyFill="1" applyAlignment="1">
      <alignment horizontal="center"/>
    </xf>
    <xf numFmtId="165" fontId="42" fillId="0" borderId="0" xfId="1" applyNumberFormat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5" fontId="5" fillId="4" borderId="0" xfId="1" applyNumberFormat="1" applyFont="1" applyFill="1" applyBorder="1" applyAlignment="1" applyProtection="1">
      <alignment horizontal="center" vertical="center" wrapText="1"/>
    </xf>
    <xf numFmtId="165" fontId="5" fillId="7" borderId="0" xfId="1" applyNumberFormat="1" applyFont="1" applyFill="1" applyBorder="1" applyAlignment="1" applyProtection="1">
      <alignment horizontal="center" vertical="center" wrapText="1"/>
    </xf>
    <xf numFmtId="165" fontId="27" fillId="8" borderId="0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 applyAlignment="1" applyProtection="1">
      <alignment horizontal="center"/>
    </xf>
    <xf numFmtId="165" fontId="8" fillId="3" borderId="0" xfId="1" applyNumberFormat="1" applyFont="1" applyFill="1" applyBorder="1" applyAlignment="1" applyProtection="1">
      <alignment horizontal="center" vertical="center" wrapText="1"/>
    </xf>
    <xf numFmtId="165" fontId="9" fillId="9" borderId="0" xfId="1" applyNumberFormat="1" applyFont="1" applyFill="1" applyAlignment="1">
      <alignment vertical="center"/>
    </xf>
    <xf numFmtId="165" fontId="10" fillId="10" borderId="0" xfId="1" applyNumberFormat="1" applyFont="1" applyFill="1" applyBorder="1" applyAlignment="1" applyProtection="1">
      <alignment horizontal="center" vertical="center" wrapText="1"/>
    </xf>
    <xf numFmtId="165" fontId="8" fillId="6" borderId="0" xfId="1" applyNumberFormat="1" applyFont="1" applyFill="1" applyBorder="1" applyAlignment="1" applyProtection="1">
      <alignment horizontal="center" vertical="center" wrapText="1"/>
    </xf>
    <xf numFmtId="165" fontId="10" fillId="4" borderId="0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  <xf numFmtId="165" fontId="5" fillId="11" borderId="0" xfId="1" applyNumberFormat="1" applyFont="1" applyFill="1" applyBorder="1" applyAlignment="1" applyProtection="1">
      <alignment horizontal="center" vertical="center" wrapText="1"/>
    </xf>
    <xf numFmtId="165" fontId="11" fillId="0" borderId="0" xfId="1" applyNumberFormat="1" applyFont="1" applyFill="1" applyBorder="1" applyAlignment="1" applyProtection="1">
      <alignment horizontal="center" vertical="center" wrapText="1"/>
    </xf>
    <xf numFmtId="165" fontId="27" fillId="12" borderId="2" xfId="1" applyNumberFormat="1" applyFont="1" applyFill="1" applyBorder="1" applyAlignment="1" applyProtection="1">
      <alignment horizontal="center" vertical="center"/>
    </xf>
    <xf numFmtId="165" fontId="4" fillId="0" borderId="0" xfId="1" applyNumberFormat="1" applyFont="1" applyFill="1" applyBorder="1" applyAlignment="1" applyProtection="1">
      <alignment vertical="top" wrapText="1"/>
    </xf>
    <xf numFmtId="165" fontId="5" fillId="0" borderId="1" xfId="1" applyNumberFormat="1" applyFont="1" applyBorder="1" applyAlignment="1">
      <alignment horizontal="center" vertical="center"/>
    </xf>
    <xf numFmtId="165" fontId="10" fillId="0" borderId="0" xfId="1" applyNumberFormat="1" applyFont="1" applyFill="1" applyBorder="1" applyAlignment="1" applyProtection="1">
      <alignment horizontal="center" vertical="center" wrapText="1"/>
    </xf>
    <xf numFmtId="165" fontId="37" fillId="15" borderId="0" xfId="1" applyNumberFormat="1" applyFont="1" applyFill="1" applyAlignment="1">
      <alignment horizontal="center"/>
    </xf>
    <xf numFmtId="165" fontId="33" fillId="13" borderId="0" xfId="1" applyNumberFormat="1" applyFont="1" applyFill="1" applyAlignment="1">
      <alignment horizontal="center" vertical="center"/>
    </xf>
    <xf numFmtId="165" fontId="8" fillId="0" borderId="0" xfId="1" applyNumberFormat="1" applyFont="1" applyFill="1" applyBorder="1" applyAlignment="1" applyProtection="1">
      <alignment horizontal="center" vertical="center" wrapText="1"/>
    </xf>
    <xf numFmtId="165" fontId="27" fillId="4" borderId="0" xfId="1" applyNumberFormat="1" applyFont="1" applyFill="1" applyAlignment="1">
      <alignment horizontal="center"/>
    </xf>
    <xf numFmtId="165" fontId="44" fillId="14" borderId="0" xfId="1" applyNumberFormat="1" applyFont="1" applyFill="1" applyAlignment="1">
      <alignment horizontal="center" vertical="center"/>
    </xf>
    <xf numFmtId="165" fontId="33" fillId="4" borderId="0" xfId="1" applyNumberFormat="1" applyFont="1" applyFill="1" applyAlignment="1">
      <alignment horizontal="center"/>
    </xf>
    <xf numFmtId="165" fontId="48" fillId="4" borderId="0" xfId="1" applyNumberFormat="1" applyFont="1" applyFill="1" applyAlignment="1">
      <alignment horizontal="center"/>
    </xf>
    <xf numFmtId="165" fontId="27" fillId="2" borderId="2" xfId="1" applyNumberFormat="1" applyFont="1" applyFill="1" applyBorder="1" applyAlignment="1" applyProtection="1">
      <alignment horizontal="center"/>
    </xf>
    <xf numFmtId="165" fontId="49" fillId="2" borderId="2" xfId="1" applyNumberFormat="1" applyFont="1" applyFill="1" applyBorder="1" applyAlignment="1" applyProtection="1">
      <alignment horizontal="center" vertical="center"/>
    </xf>
    <xf numFmtId="165" fontId="50" fillId="2" borderId="2" xfId="1" applyNumberFormat="1" applyFont="1" applyFill="1" applyBorder="1" applyAlignment="1" applyProtection="1">
      <alignment horizontal="center" vertical="center"/>
    </xf>
    <xf numFmtId="165" fontId="27" fillId="2" borderId="2" xfId="1" applyNumberFormat="1" applyFont="1" applyFill="1" applyBorder="1" applyAlignment="1" applyProtection="1">
      <alignment horizontal="center" vertical="center"/>
    </xf>
    <xf numFmtId="165" fontId="4" fillId="4" borderId="0" xfId="1" applyNumberFormat="1" applyFont="1" applyFill="1" applyAlignment="1">
      <alignment vertical="center"/>
    </xf>
    <xf numFmtId="165" fontId="5" fillId="5" borderId="2" xfId="1" applyNumberFormat="1" applyFont="1" applyFill="1" applyBorder="1" applyAlignment="1" applyProtection="1">
      <alignment vertical="center"/>
    </xf>
    <xf numFmtId="165" fontId="7" fillId="5" borderId="2" xfId="1" applyNumberFormat="1" applyFont="1" applyFill="1" applyBorder="1" applyAlignment="1" applyProtection="1">
      <alignment horizontal="center" vertical="center"/>
    </xf>
    <xf numFmtId="165" fontId="7" fillId="5" borderId="2" xfId="1" applyNumberFormat="1" applyFont="1" applyFill="1" applyBorder="1" applyAlignment="1" applyProtection="1">
      <alignment vertical="center"/>
    </xf>
    <xf numFmtId="165" fontId="44" fillId="4" borderId="0" xfId="1" applyNumberFormat="1" applyFont="1" applyFill="1" applyBorder="1" applyAlignment="1" applyProtection="1">
      <alignment vertical="top" wrapText="1"/>
    </xf>
    <xf numFmtId="165" fontId="27" fillId="5" borderId="2" xfId="1" applyNumberFormat="1" applyFont="1" applyFill="1" applyBorder="1" applyAlignment="1" applyProtection="1">
      <alignment horizontal="center" vertical="center"/>
    </xf>
    <xf numFmtId="165" fontId="51" fillId="0" borderId="0" xfId="1" applyNumberFormat="1" applyFont="1" applyAlignment="1">
      <alignment horizontal="center" vertical="center"/>
    </xf>
    <xf numFmtId="165" fontId="34" fillId="0" borderId="0" xfId="1" applyNumberFormat="1" applyFont="1" applyAlignment="1">
      <alignment horizontal="center"/>
    </xf>
    <xf numFmtId="165" fontId="45" fillId="0" borderId="0" xfId="1" applyNumberFormat="1" applyFont="1" applyAlignment="1"/>
    <xf numFmtId="165" fontId="52" fillId="0" borderId="0" xfId="1" applyNumberFormat="1" applyFont="1" applyAlignment="1">
      <alignment horizontal="center" vertical="center"/>
    </xf>
    <xf numFmtId="165" fontId="45" fillId="0" borderId="0" xfId="1" applyNumberFormat="1" applyFont="1" applyAlignment="1">
      <alignment horizontal="center" vertical="center"/>
    </xf>
    <xf numFmtId="165" fontId="53" fillId="0" borderId="0" xfId="1" applyNumberFormat="1" applyFont="1" applyAlignment="1">
      <alignment horizontal="center" vertical="center"/>
    </xf>
    <xf numFmtId="165" fontId="35" fillId="2" borderId="0" xfId="1" applyNumberFormat="1" applyFont="1" applyFill="1" applyAlignment="1">
      <alignment horizontal="center"/>
    </xf>
    <xf numFmtId="165" fontId="37" fillId="0" borderId="3" xfId="1" applyNumberFormat="1" applyFont="1" applyBorder="1" applyAlignment="1">
      <alignment horizontal="center"/>
    </xf>
    <xf numFmtId="165" fontId="37" fillId="0" borderId="4" xfId="1" applyNumberFormat="1" applyFont="1" applyBorder="1" applyAlignment="1">
      <alignment horizontal="center"/>
    </xf>
    <xf numFmtId="165" fontId="45" fillId="0" borderId="5" xfId="1" applyNumberFormat="1" applyFont="1" applyBorder="1" applyAlignment="1">
      <alignment horizontal="center"/>
    </xf>
    <xf numFmtId="165" fontId="57" fillId="0" borderId="0" xfId="1" applyNumberFormat="1" applyFont="1" applyAlignment="1">
      <alignment horizontal="center"/>
    </xf>
    <xf numFmtId="165" fontId="58" fillId="0" borderId="0" xfId="1" applyNumberFormat="1" applyFont="1" applyAlignment="1">
      <alignment horizontal="center" vertical="center"/>
    </xf>
    <xf numFmtId="165" fontId="59" fillId="0" borderId="0" xfId="1" applyNumberFormat="1" applyFont="1" applyAlignment="1">
      <alignment vertical="center"/>
    </xf>
    <xf numFmtId="165" fontId="37" fillId="0" borderId="0" xfId="1" applyNumberFormat="1" applyFont="1" applyAlignment="1">
      <alignment horizontal="center" vertical="center"/>
    </xf>
    <xf numFmtId="165" fontId="59" fillId="3" borderId="0" xfId="1" applyNumberFormat="1" applyFont="1" applyFill="1" applyAlignment="1">
      <alignment vertical="center"/>
    </xf>
    <xf numFmtId="165" fontId="33" fillId="0" borderId="0" xfId="1" applyNumberFormat="1" applyFont="1" applyAlignment="1">
      <alignment horizontal="center" vertical="center"/>
    </xf>
    <xf numFmtId="165" fontId="59" fillId="0" borderId="0" xfId="1" applyNumberFormat="1" applyFont="1" applyAlignment="1">
      <alignment horizontal="center" vertical="center" wrapText="1"/>
    </xf>
    <xf numFmtId="165" fontId="59" fillId="8" borderId="0" xfId="1" applyNumberFormat="1" applyFont="1" applyFill="1" applyAlignment="1">
      <alignment horizontal="center" vertical="center" wrapText="1"/>
    </xf>
    <xf numFmtId="165" fontId="60" fillId="0" borderId="0" xfId="1" applyNumberFormat="1" applyFont="1" applyAlignment="1">
      <alignment horizontal="center" vertical="center" wrapText="1"/>
    </xf>
    <xf numFmtId="165" fontId="55" fillId="0" borderId="0" xfId="1" applyNumberFormat="1" applyFont="1" applyAlignment="1">
      <alignment vertical="center"/>
    </xf>
    <xf numFmtId="165" fontId="61" fillId="3" borderId="0" xfId="1" applyNumberFormat="1" applyFont="1" applyFill="1" applyAlignment="1">
      <alignment horizontal="center" vertical="center"/>
    </xf>
    <xf numFmtId="165" fontId="61" fillId="8" borderId="0" xfId="1" applyNumberFormat="1" applyFont="1" applyFill="1" applyAlignment="1">
      <alignment horizontal="center" vertical="center"/>
    </xf>
    <xf numFmtId="165" fontId="63" fillId="0" borderId="0" xfId="1" applyNumberFormat="1" applyFont="1" applyAlignment="1">
      <alignment horizontal="center" vertical="center"/>
    </xf>
    <xf numFmtId="165" fontId="64" fillId="0" borderId="0" xfId="1" applyNumberFormat="1" applyFont="1" applyAlignment="1">
      <alignment horizontal="center"/>
    </xf>
    <xf numFmtId="165" fontId="66" fillId="8" borderId="0" xfId="1" applyNumberFormat="1" applyFont="1" applyFill="1" applyAlignment="1">
      <alignment horizontal="center" vertical="center"/>
    </xf>
    <xf numFmtId="165" fontId="67" fillId="3" borderId="0" xfId="1" applyNumberFormat="1" applyFont="1" applyFill="1" applyAlignment="1">
      <alignment horizontal="center" vertical="center"/>
    </xf>
    <xf numFmtId="165" fontId="68" fillId="0" borderId="0" xfId="1" applyNumberFormat="1" applyFont="1" applyAlignment="1">
      <alignment horizontal="center"/>
    </xf>
    <xf numFmtId="165" fontId="69" fillId="0" borderId="0" xfId="1" applyNumberFormat="1" applyFont="1" applyAlignment="1">
      <alignment horizontal="center"/>
    </xf>
    <xf numFmtId="165" fontId="70" fillId="0" borderId="0" xfId="1" applyNumberFormat="1" applyFont="1" applyAlignment="1">
      <alignment horizontal="center"/>
    </xf>
    <xf numFmtId="165" fontId="57" fillId="0" borderId="0" xfId="1" applyNumberFormat="1" applyFont="1" applyAlignment="1">
      <alignment horizontal="center" vertical="center"/>
    </xf>
    <xf numFmtId="165" fontId="71" fillId="0" borderId="0" xfId="1" applyNumberFormat="1" applyFont="1" applyAlignment="1">
      <alignment horizontal="center" vertical="center"/>
    </xf>
    <xf numFmtId="165" fontId="46" fillId="0" borderId="0" xfId="1" applyNumberFormat="1" applyFont="1" applyAlignment="1">
      <alignment horizontal="center" vertical="center"/>
    </xf>
    <xf numFmtId="165" fontId="72" fillId="0" borderId="0" xfId="1" applyNumberFormat="1" applyFont="1" applyAlignment="1">
      <alignment horizontal="center" vertical="center"/>
    </xf>
    <xf numFmtId="165" fontId="55" fillId="0" borderId="0" xfId="1" applyNumberFormat="1" applyFont="1" applyAlignment="1">
      <alignment horizontal="left" vertical="center"/>
    </xf>
    <xf numFmtId="165" fontId="59" fillId="0" borderId="0" xfId="1" applyNumberFormat="1" applyFont="1" applyAlignment="1">
      <alignment horizontal="center" vertical="center"/>
    </xf>
    <xf numFmtId="165" fontId="68" fillId="0" borderId="0" xfId="1" applyNumberFormat="1" applyFont="1" applyAlignment="1">
      <alignment horizontal="center" vertical="center"/>
    </xf>
    <xf numFmtId="165" fontId="73" fillId="0" borderId="0" xfId="1" applyNumberFormat="1" applyFont="1" applyAlignment="1">
      <alignment horizontal="center" vertical="center"/>
    </xf>
    <xf numFmtId="165" fontId="60" fillId="0" borderId="0" xfId="1" applyNumberFormat="1" applyFont="1" applyAlignment="1">
      <alignment horizontal="center" vertical="center"/>
    </xf>
    <xf numFmtId="165" fontId="74" fillId="0" borderId="0" xfId="1" applyNumberFormat="1" applyFont="1" applyAlignment="1">
      <alignment horizontal="center" vertical="center"/>
    </xf>
    <xf numFmtId="165" fontId="67" fillId="3" borderId="0" xfId="1" applyNumberFormat="1" applyFont="1" applyFill="1" applyAlignment="1">
      <alignment horizontal="center"/>
    </xf>
    <xf numFmtId="165" fontId="76" fillId="0" borderId="0" xfId="1" applyNumberFormat="1" applyFont="1" applyAlignment="1">
      <alignment horizontal="center" vertical="center"/>
    </xf>
    <xf numFmtId="165" fontId="26" fillId="0" borderId="0" xfId="1" applyNumberFormat="1" applyFont="1" applyAlignment="1">
      <alignment horizontal="center"/>
    </xf>
    <xf numFmtId="165" fontId="79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165" fontId="5" fillId="7" borderId="0" xfId="1" applyNumberFormat="1" applyFont="1" applyFill="1" applyAlignment="1">
      <alignment horizontal="center"/>
    </xf>
    <xf numFmtId="165" fontId="18" fillId="2" borderId="2" xfId="1" applyNumberFormat="1" applyFont="1" applyFill="1" applyBorder="1" applyAlignment="1" applyProtection="1">
      <alignment horizontal="center" vertical="center"/>
    </xf>
    <xf numFmtId="165" fontId="10" fillId="0" borderId="0" xfId="1" applyNumberFormat="1" applyFont="1" applyAlignment="1">
      <alignment horizontal="center"/>
    </xf>
    <xf numFmtId="0" fontId="81" fillId="0" borderId="0" xfId="0" applyFont="1"/>
    <xf numFmtId="166" fontId="5" fillId="0" borderId="0" xfId="0" applyNumberFormat="1" applyFont="1"/>
    <xf numFmtId="164" fontId="78" fillId="0" borderId="0" xfId="0" applyNumberFormat="1" applyFont="1" applyAlignment="1">
      <alignment vertical="center"/>
    </xf>
    <xf numFmtId="165" fontId="0" fillId="0" borderId="0" xfId="1" applyNumberFormat="1" applyFont="1"/>
    <xf numFmtId="164" fontId="26" fillId="0" borderId="0" xfId="0" applyNumberFormat="1" applyFont="1" applyAlignment="1">
      <alignment vertical="center"/>
    </xf>
    <xf numFmtId="164" fontId="80" fillId="0" borderId="0" xfId="0" applyNumberFormat="1" applyFont="1" applyAlignment="1">
      <alignment vertical="center"/>
    </xf>
    <xf numFmtId="0" fontId="26" fillId="5" borderId="1" xfId="0" applyFont="1" applyFill="1" applyBorder="1" applyAlignment="1">
      <alignment vertical="center"/>
    </xf>
    <xf numFmtId="0" fontId="78" fillId="0" borderId="0" xfId="0" applyFont="1" applyAlignment="1">
      <alignment vertical="center"/>
    </xf>
    <xf numFmtId="0" fontId="26" fillId="5" borderId="2" xfId="0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 applyProtection="1"/>
    <xf numFmtId="165" fontId="0" fillId="0" borderId="0" xfId="0" applyNumberFormat="1"/>
    <xf numFmtId="165" fontId="82" fillId="3" borderId="6" xfId="0" applyNumberFormat="1" applyFont="1" applyFill="1" applyBorder="1"/>
    <xf numFmtId="0" fontId="28" fillId="3" borderId="7" xfId="0" applyFont="1" applyFill="1" applyBorder="1"/>
    <xf numFmtId="0" fontId="0" fillId="0" borderId="8" xfId="0" applyBorder="1"/>
    <xf numFmtId="165" fontId="6" fillId="5" borderId="0" xfId="1" applyNumberFormat="1" applyFont="1" applyFill="1" applyAlignment="1">
      <alignment horizontal="center"/>
    </xf>
    <xf numFmtId="165" fontId="83" fillId="0" borderId="0" xfId="1" applyNumberFormat="1" applyFont="1" applyAlignment="1">
      <alignment horizontal="center"/>
    </xf>
    <xf numFmtId="165" fontId="34" fillId="3" borderId="9" xfId="1" applyNumberFormat="1" applyFont="1" applyFill="1" applyBorder="1" applyAlignment="1">
      <alignment horizontal="center"/>
    </xf>
    <xf numFmtId="165" fontId="34" fillId="0" borderId="9" xfId="1" applyNumberFormat="1" applyFont="1" applyBorder="1" applyAlignment="1">
      <alignment horizontal="center"/>
    </xf>
    <xf numFmtId="165" fontId="34" fillId="0" borderId="6" xfId="1" applyNumberFormat="1" applyFont="1" applyBorder="1" applyAlignment="1">
      <alignment horizontal="center"/>
    </xf>
    <xf numFmtId="165" fontId="14" fillId="0" borderId="0" xfId="1" applyNumberFormat="1" applyFont="1"/>
    <xf numFmtId="9" fontId="14" fillId="0" borderId="0" xfId="2" applyFont="1"/>
    <xf numFmtId="165" fontId="26" fillId="0" borderId="0" xfId="1" applyNumberFormat="1" applyFont="1" applyBorder="1" applyAlignment="1">
      <alignment horizontal="center"/>
    </xf>
    <xf numFmtId="165" fontId="14" fillId="0" borderId="0" xfId="1" applyNumberFormat="1" applyFont="1" applyBorder="1"/>
    <xf numFmtId="9" fontId="14" fillId="0" borderId="0" xfId="2" applyFont="1" applyBorder="1"/>
    <xf numFmtId="165" fontId="10" fillId="0" borderId="9" xfId="1" applyNumberFormat="1" applyFont="1" applyBorder="1" applyAlignment="1">
      <alignment horizontal="center"/>
    </xf>
    <xf numFmtId="165" fontId="34" fillId="0" borderId="5" xfId="1" applyNumberFormat="1" applyFont="1" applyBorder="1" applyAlignment="1">
      <alignment horizontal="center"/>
    </xf>
    <xf numFmtId="165" fontId="8" fillId="0" borderId="0" xfId="1" applyNumberFormat="1" applyFont="1" applyBorder="1" applyAlignment="1">
      <alignment horizontal="center" vertical="center"/>
    </xf>
    <xf numFmtId="165" fontId="0" fillId="0" borderId="8" xfId="0" applyNumberFormat="1" applyBorder="1"/>
    <xf numFmtId="165" fontId="4" fillId="0" borderId="10" xfId="1" applyNumberFormat="1" applyFont="1" applyBorder="1" applyAlignment="1">
      <alignment horizontal="center" wrapText="1"/>
    </xf>
    <xf numFmtId="165" fontId="10" fillId="0" borderId="6" xfId="1" applyNumberFormat="1" applyFont="1" applyBorder="1" applyAlignment="1">
      <alignment horizontal="center"/>
    </xf>
    <xf numFmtId="165" fontId="5" fillId="16" borderId="0" xfId="1" applyNumberFormat="1" applyFont="1" applyFill="1" applyBorder="1" applyAlignment="1" applyProtection="1">
      <alignment horizontal="center"/>
    </xf>
    <xf numFmtId="165" fontId="5" fillId="11" borderId="0" xfId="1" applyNumberFormat="1" applyFont="1" applyFill="1" applyBorder="1" applyAlignment="1" applyProtection="1">
      <alignment horizontal="center"/>
    </xf>
    <xf numFmtId="165" fontId="5" fillId="13" borderId="0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 applyAlignment="1" applyProtection="1">
      <alignment vertical="center"/>
    </xf>
    <xf numFmtId="10" fontId="5" fillId="0" borderId="0" xfId="2" applyNumberFormat="1" applyFont="1" applyFill="1" applyBorder="1" applyAlignment="1" applyProtection="1">
      <alignment horizontal="center"/>
    </xf>
    <xf numFmtId="165" fontId="10" fillId="0" borderId="8" xfId="1" applyNumberFormat="1" applyFont="1" applyBorder="1" applyAlignment="1">
      <alignment horizontal="center" vertical="center"/>
    </xf>
    <xf numFmtId="165" fontId="10" fillId="0" borderId="9" xfId="1" applyNumberFormat="1" applyFont="1" applyBorder="1" applyAlignment="1">
      <alignment horizontal="center" vertical="center"/>
    </xf>
    <xf numFmtId="165" fontId="26" fillId="0" borderId="11" xfId="1" applyNumberFormat="1" applyFont="1" applyBorder="1" applyAlignment="1">
      <alignment horizontal="center"/>
    </xf>
    <xf numFmtId="165" fontId="14" fillId="0" borderId="11" xfId="1" applyNumberFormat="1" applyFont="1" applyBorder="1"/>
    <xf numFmtId="9" fontId="14" fillId="0" borderId="11" xfId="2" applyFont="1" applyBorder="1"/>
    <xf numFmtId="0" fontId="0" fillId="0" borderId="11" xfId="0" applyBorder="1"/>
    <xf numFmtId="10" fontId="0" fillId="0" borderId="0" xfId="0" applyNumberFormat="1"/>
    <xf numFmtId="181" fontId="84" fillId="0" borderId="0" xfId="1" applyNumberFormat="1" applyFont="1"/>
    <xf numFmtId="181" fontId="34" fillId="0" borderId="9" xfId="1" applyNumberFormat="1" applyFont="1" applyBorder="1" applyAlignment="1">
      <alignment horizontal="center"/>
    </xf>
    <xf numFmtId="165" fontId="14" fillId="0" borderId="9" xfId="1" applyNumberFormat="1" applyFont="1" applyBorder="1" applyAlignment="1">
      <alignment vertical="center"/>
    </xf>
    <xf numFmtId="10" fontId="14" fillId="0" borderId="9" xfId="2" applyNumberFormat="1" applyFont="1" applyBorder="1" applyAlignment="1">
      <alignment vertical="center"/>
    </xf>
    <xf numFmtId="165" fontId="10" fillId="0" borderId="6" xfId="1" applyNumberFormat="1" applyFont="1" applyBorder="1" applyAlignment="1">
      <alignment horizontal="center" vertical="center"/>
    </xf>
    <xf numFmtId="165" fontId="14" fillId="0" borderId="12" xfId="1" applyNumberFormat="1" applyFont="1" applyBorder="1"/>
    <xf numFmtId="10" fontId="14" fillId="0" borderId="12" xfId="2" applyNumberFormat="1" applyFont="1" applyBorder="1"/>
    <xf numFmtId="9" fontId="14" fillId="0" borderId="12" xfId="2" applyFont="1" applyBorder="1"/>
    <xf numFmtId="0" fontId="81" fillId="0" borderId="13" xfId="0" applyFont="1" applyBorder="1"/>
    <xf numFmtId="165" fontId="26" fillId="0" borderId="14" xfId="1" applyNumberFormat="1" applyFont="1" applyBorder="1" applyAlignment="1">
      <alignment horizontal="left" vertical="center"/>
    </xf>
    <xf numFmtId="165" fontId="14" fillId="0" borderId="15" xfId="1" applyNumberFormat="1" applyFont="1" applyBorder="1" applyAlignment="1">
      <alignment vertical="center"/>
    </xf>
    <xf numFmtId="10" fontId="14" fillId="0" borderId="15" xfId="2" applyNumberFormat="1" applyFont="1" applyBorder="1" applyAlignment="1">
      <alignment vertical="center"/>
    </xf>
    <xf numFmtId="165" fontId="26" fillId="0" borderId="16" xfId="1" applyNumberFormat="1" applyFont="1" applyBorder="1" applyAlignment="1">
      <alignment horizontal="left" vertical="center"/>
    </xf>
    <xf numFmtId="165" fontId="14" fillId="0" borderId="17" xfId="1" applyNumberFormat="1" applyFont="1" applyBorder="1" applyAlignment="1">
      <alignment vertical="center"/>
    </xf>
    <xf numFmtId="165" fontId="14" fillId="0" borderId="18" xfId="1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38" fontId="5" fillId="5" borderId="1" xfId="0" applyNumberFormat="1" applyFont="1" applyFill="1" applyBorder="1" applyAlignment="1">
      <alignment vertical="center"/>
    </xf>
    <xf numFmtId="38" fontId="4" fillId="0" borderId="0" xfId="0" applyNumberFormat="1" applyFont="1" applyAlignment="1">
      <alignment vertical="center"/>
    </xf>
    <xf numFmtId="38" fontId="5" fillId="5" borderId="2" xfId="0" applyNumberFormat="1" applyFont="1" applyFill="1" applyBorder="1" applyAlignment="1">
      <alignment horizontal="center" vertical="center"/>
    </xf>
    <xf numFmtId="38" fontId="5" fillId="12" borderId="2" xfId="1" applyNumberFormat="1" applyFont="1" applyFill="1" applyBorder="1" applyAlignment="1" applyProtection="1">
      <alignment horizontal="center" vertical="center"/>
    </xf>
    <xf numFmtId="38" fontId="5" fillId="5" borderId="2" xfId="1" applyNumberFormat="1" applyFont="1" applyFill="1" applyBorder="1" applyAlignment="1" applyProtection="1">
      <alignment horizontal="center" vertical="center"/>
    </xf>
    <xf numFmtId="165" fontId="5" fillId="0" borderId="0" xfId="1" applyNumberFormat="1" applyFont="1" applyFill="1" applyBorder="1" applyAlignment="1" applyProtection="1">
      <alignment horizontal="right" vertical="center"/>
    </xf>
    <xf numFmtId="10" fontId="5" fillId="0" borderId="0" xfId="2" applyNumberFormat="1" applyFont="1" applyFill="1" applyBorder="1" applyAlignment="1" applyProtection="1">
      <alignment horizontal="right" vertical="center"/>
    </xf>
    <xf numFmtId="170" fontId="2" fillId="2" borderId="0" xfId="0" applyNumberFormat="1" applyFont="1" applyFill="1" applyAlignment="1">
      <alignment horizontal="center" vertical="center"/>
    </xf>
    <xf numFmtId="0" fontId="28" fillId="3" borderId="7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165" fontId="5" fillId="0" borderId="0" xfId="1" applyNumberFormat="1" applyFont="1" applyFill="1" applyBorder="1" applyAlignment="1" applyProtection="1">
      <alignment horizontal="center" vertical="center"/>
    </xf>
    <xf numFmtId="10" fontId="5" fillId="0" borderId="0" xfId="2" applyNumberFormat="1" applyFont="1" applyFill="1" applyBorder="1" applyAlignment="1" applyProtection="1">
      <alignment horizontal="center" vertical="center"/>
    </xf>
    <xf numFmtId="9" fontId="5" fillId="0" borderId="0" xfId="2" applyFont="1" applyFill="1" applyBorder="1" applyAlignment="1" applyProtection="1">
      <alignment vertical="center"/>
    </xf>
    <xf numFmtId="9" fontId="0" fillId="0" borderId="0" xfId="2" applyFont="1" applyAlignment="1">
      <alignment vertical="center"/>
    </xf>
    <xf numFmtId="165" fontId="0" fillId="0" borderId="8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165" fontId="82" fillId="3" borderId="6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5" fontId="6" fillId="5" borderId="0" xfId="1" applyNumberFormat="1" applyFont="1" applyFill="1" applyAlignment="1">
      <alignment horizontal="center" vertical="center"/>
    </xf>
    <xf numFmtId="10" fontId="5" fillId="0" borderId="6" xfId="2" applyNumberFormat="1" applyFont="1" applyFill="1" applyBorder="1" applyAlignment="1" applyProtection="1">
      <alignment horizontal="center" vertical="center"/>
    </xf>
    <xf numFmtId="165" fontId="5" fillId="5" borderId="1" xfId="1" applyNumberFormat="1" applyFont="1" applyFill="1" applyBorder="1" applyAlignment="1" applyProtection="1">
      <alignment horizontal="center" vertical="center"/>
    </xf>
    <xf numFmtId="38" fontId="5" fillId="5" borderId="1" xfId="1" applyNumberFormat="1" applyFont="1" applyFill="1" applyBorder="1" applyAlignment="1" applyProtection="1">
      <alignment horizontal="center" vertical="center"/>
    </xf>
    <xf numFmtId="38" fontId="82" fillId="3" borderId="6" xfId="0" applyNumberFormat="1" applyFont="1" applyFill="1" applyBorder="1" applyAlignment="1">
      <alignment vertical="center"/>
    </xf>
    <xf numFmtId="38" fontId="0" fillId="0" borderId="0" xfId="0" applyNumberFormat="1" applyAlignment="1">
      <alignment vertical="center"/>
    </xf>
    <xf numFmtId="38" fontId="5" fillId="0" borderId="0" xfId="1" applyNumberFormat="1" applyFont="1" applyAlignment="1">
      <alignment horizontal="center" vertical="center"/>
    </xf>
    <xf numFmtId="38" fontId="0" fillId="0" borderId="8" xfId="0" applyNumberFormat="1" applyBorder="1" applyAlignment="1">
      <alignment vertical="center"/>
    </xf>
    <xf numFmtId="38" fontId="0" fillId="0" borderId="0" xfId="1" applyNumberFormat="1" applyFont="1" applyAlignment="1">
      <alignment vertical="center"/>
    </xf>
    <xf numFmtId="38" fontId="0" fillId="0" borderId="0" xfId="2" applyNumberFormat="1" applyFont="1" applyAlignment="1">
      <alignment vertical="center"/>
    </xf>
    <xf numFmtId="0" fontId="85" fillId="0" borderId="0" xfId="0" applyFont="1" applyAlignment="1">
      <alignment vertical="center"/>
    </xf>
    <xf numFmtId="165" fontId="85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Border="1" applyAlignment="1" applyProtection="1">
      <alignment horizontal="center" vertical="center"/>
    </xf>
    <xf numFmtId="165" fontId="4" fillId="16" borderId="0" xfId="1" applyNumberFormat="1" applyFont="1" applyFill="1" applyBorder="1" applyAlignment="1" applyProtection="1">
      <alignment horizontal="center" vertical="center"/>
    </xf>
    <xf numFmtId="165" fontId="4" fillId="11" borderId="0" xfId="1" applyNumberFormat="1" applyFont="1" applyFill="1" applyBorder="1" applyAlignment="1" applyProtection="1">
      <alignment horizontal="center" vertical="center"/>
    </xf>
    <xf numFmtId="165" fontId="4" fillId="13" borderId="0" xfId="1" applyNumberFormat="1" applyFont="1" applyFill="1" applyBorder="1" applyAlignment="1" applyProtection="1">
      <alignment horizontal="center" vertical="center"/>
    </xf>
    <xf numFmtId="0" fontId="86" fillId="0" borderId="13" xfId="0" applyFont="1" applyBorder="1" applyAlignment="1">
      <alignment vertical="center"/>
    </xf>
    <xf numFmtId="167" fontId="14" fillId="0" borderId="19" xfId="0" applyNumberFormat="1" applyFont="1" applyBorder="1" applyAlignment="1">
      <alignment vertical="center"/>
    </xf>
    <xf numFmtId="3" fontId="4" fillId="3" borderId="20" xfId="0" applyNumberFormat="1" applyFont="1" applyFill="1" applyBorder="1" applyAlignment="1">
      <alignment horizontal="center" vertical="center"/>
    </xf>
    <xf numFmtId="0" fontId="86" fillId="0" borderId="21" xfId="0" applyFont="1" applyBorder="1" applyAlignment="1">
      <alignment vertical="center"/>
    </xf>
    <xf numFmtId="167" fontId="14" fillId="0" borderId="0" xfId="0" applyNumberFormat="1" applyFont="1" applyAlignment="1">
      <alignment vertical="center"/>
    </xf>
    <xf numFmtId="3" fontId="4" fillId="3" borderId="22" xfId="0" applyNumberFormat="1" applyFont="1" applyFill="1" applyBorder="1" applyAlignment="1">
      <alignment horizontal="center" vertical="center"/>
    </xf>
    <xf numFmtId="0" fontId="86" fillId="0" borderId="23" xfId="0" applyFont="1" applyBorder="1" applyAlignment="1">
      <alignment vertical="center"/>
    </xf>
    <xf numFmtId="167" fontId="14" fillId="0" borderId="24" xfId="0" applyNumberFormat="1" applyFont="1" applyBorder="1" applyAlignment="1">
      <alignment vertical="center"/>
    </xf>
    <xf numFmtId="3" fontId="4" fillId="3" borderId="25" xfId="0" applyNumberFormat="1" applyFont="1" applyFill="1" applyBorder="1" applyAlignment="1">
      <alignment horizontal="center" vertical="center"/>
    </xf>
    <xf numFmtId="9" fontId="5" fillId="0" borderId="3" xfId="2" applyFont="1" applyBorder="1" applyAlignment="1">
      <alignment vertical="center"/>
    </xf>
    <xf numFmtId="9" fontId="15" fillId="0" borderId="4" xfId="2" applyFont="1" applyBorder="1" applyAlignment="1">
      <alignment vertical="center"/>
    </xf>
    <xf numFmtId="9" fontId="4" fillId="0" borderId="5" xfId="2" applyFont="1" applyFill="1" applyBorder="1" applyAlignment="1" applyProtection="1">
      <alignment vertical="center"/>
    </xf>
    <xf numFmtId="9" fontId="0" fillId="0" borderId="8" xfId="0" applyNumberFormat="1" applyBorder="1" applyAlignment="1">
      <alignment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4" fillId="17" borderId="0" xfId="1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>
      <alignment vertical="center"/>
    </xf>
    <xf numFmtId="0" fontId="87" fillId="0" borderId="0" xfId="0" applyFont="1"/>
    <xf numFmtId="0" fontId="88" fillId="0" borderId="0" xfId="3"/>
    <xf numFmtId="0" fontId="87" fillId="4" borderId="13" xfId="0" applyFont="1" applyFill="1" applyBorder="1"/>
    <xf numFmtId="0" fontId="87" fillId="4" borderId="20" xfId="0" applyFont="1" applyFill="1" applyBorder="1"/>
    <xf numFmtId="0" fontId="87" fillId="4" borderId="21" xfId="0" applyFont="1" applyFill="1" applyBorder="1"/>
    <xf numFmtId="0" fontId="87" fillId="4" borderId="22" xfId="0" applyFont="1" applyFill="1" applyBorder="1"/>
    <xf numFmtId="0" fontId="87" fillId="4" borderId="23" xfId="0" applyFont="1" applyFill="1" applyBorder="1"/>
    <xf numFmtId="0" fontId="87" fillId="4" borderId="25" xfId="0" applyFont="1" applyFill="1" applyBorder="1"/>
    <xf numFmtId="180" fontId="87" fillId="0" borderId="0" xfId="0" applyNumberFormat="1" applyFont="1"/>
    <xf numFmtId="0" fontId="87" fillId="18" borderId="13" xfId="0" applyFont="1" applyFill="1" applyBorder="1"/>
    <xf numFmtId="0" fontId="0" fillId="18" borderId="21" xfId="0" applyFill="1" applyBorder="1"/>
    <xf numFmtId="1" fontId="0" fillId="18" borderId="0" xfId="0" applyNumberFormat="1" applyFill="1"/>
    <xf numFmtId="1" fontId="0" fillId="18" borderId="22" xfId="0" applyNumberFormat="1" applyFill="1" applyBorder="1"/>
    <xf numFmtId="0" fontId="0" fillId="18" borderId="23" xfId="0" applyFill="1" applyBorder="1"/>
    <xf numFmtId="1" fontId="0" fillId="18" borderId="24" xfId="0" applyNumberFormat="1" applyFill="1" applyBorder="1"/>
    <xf numFmtId="1" fontId="0" fillId="18" borderId="25" xfId="0" applyNumberFormat="1" applyFill="1" applyBorder="1"/>
    <xf numFmtId="0" fontId="87" fillId="18" borderId="19" xfId="0" applyFont="1" applyFill="1" applyBorder="1" applyAlignment="1">
      <alignment horizontal="right" vertical="center"/>
    </xf>
    <xf numFmtId="0" fontId="87" fillId="18" borderId="20" xfId="0" applyFont="1" applyFill="1" applyBorder="1" applyAlignment="1">
      <alignment horizontal="right" vertical="center"/>
    </xf>
    <xf numFmtId="0" fontId="0" fillId="17" borderId="7" xfId="0" applyFill="1" applyBorder="1"/>
    <xf numFmtId="9" fontId="0" fillId="17" borderId="8" xfId="2" applyFont="1" applyFill="1" applyBorder="1"/>
    <xf numFmtId="9" fontId="0" fillId="17" borderId="26" xfId="2" applyFont="1" applyFill="1" applyBorder="1"/>
    <xf numFmtId="1" fontId="0" fillId="0" borderId="0" xfId="0" applyNumberFormat="1"/>
    <xf numFmtId="0" fontId="0" fillId="3" borderId="0" xfId="0" applyFill="1"/>
    <xf numFmtId="0" fontId="87" fillId="3" borderId="0" xfId="0" applyFont="1" applyFill="1"/>
    <xf numFmtId="182" fontId="0" fillId="18" borderId="22" xfId="0" applyNumberFormat="1" applyFill="1" applyBorder="1"/>
    <xf numFmtId="182" fontId="0" fillId="18" borderId="25" xfId="0" applyNumberFormat="1" applyFill="1" applyBorder="1"/>
    <xf numFmtId="165" fontId="89" fillId="0" borderId="0" xfId="1" applyNumberFormat="1" applyFont="1"/>
    <xf numFmtId="0" fontId="0" fillId="0" borderId="0" xfId="0" applyAlignment="1">
      <alignment horizontal="center" vertical="center"/>
    </xf>
    <xf numFmtId="165" fontId="87" fillId="0" borderId="27" xfId="1" applyNumberFormat="1" applyFont="1" applyBorder="1"/>
    <xf numFmtId="165" fontId="87" fillId="0" borderId="1" xfId="1" applyNumberFormat="1" applyFont="1" applyBorder="1"/>
    <xf numFmtId="0" fontId="0" fillId="0" borderId="13" xfId="0" applyBorder="1"/>
    <xf numFmtId="0" fontId="87" fillId="0" borderId="30" xfId="0" applyFont="1" applyBorder="1"/>
    <xf numFmtId="165" fontId="87" fillId="0" borderId="31" xfId="1" applyNumberFormat="1" applyFont="1" applyBorder="1"/>
    <xf numFmtId="0" fontId="87" fillId="0" borderId="28" xfId="0" applyFont="1" applyBorder="1"/>
    <xf numFmtId="165" fontId="87" fillId="0" borderId="29" xfId="1" applyNumberFormat="1" applyFont="1" applyBorder="1"/>
    <xf numFmtId="0" fontId="87" fillId="6" borderId="21" xfId="0" applyFont="1" applyFill="1" applyBorder="1"/>
    <xf numFmtId="165" fontId="87" fillId="6" borderId="0" xfId="1" applyNumberFormat="1" applyFont="1" applyFill="1" applyBorder="1"/>
    <xf numFmtId="165" fontId="87" fillId="6" borderId="22" xfId="1" applyNumberFormat="1" applyFont="1" applyFill="1" applyBorder="1"/>
    <xf numFmtId="0" fontId="0" fillId="0" borderId="23" xfId="0" applyBorder="1"/>
    <xf numFmtId="9" fontId="0" fillId="0" borderId="24" xfId="2" applyFont="1" applyBorder="1"/>
    <xf numFmtId="9" fontId="0" fillId="0" borderId="25" xfId="2" applyFont="1" applyBorder="1"/>
    <xf numFmtId="0" fontId="90" fillId="0" borderId="0" xfId="0" applyFont="1"/>
    <xf numFmtId="0" fontId="0" fillId="4" borderId="13" xfId="0" applyFill="1" applyBorder="1"/>
    <xf numFmtId="165" fontId="0" fillId="4" borderId="19" xfId="1" applyNumberFormat="1" applyFont="1" applyFill="1" applyBorder="1"/>
    <xf numFmtId="165" fontId="0" fillId="4" borderId="20" xfId="1" applyNumberFormat="1" applyFont="1" applyFill="1" applyBorder="1"/>
    <xf numFmtId="0" fontId="0" fillId="4" borderId="28" xfId="0" applyFill="1" applyBorder="1"/>
    <xf numFmtId="165" fontId="0" fillId="4" borderId="1" xfId="1" applyNumberFormat="1" applyFont="1" applyFill="1" applyBorder="1"/>
    <xf numFmtId="165" fontId="0" fillId="4" borderId="29" xfId="1" applyNumberFormat="1" applyFont="1" applyFill="1" applyBorder="1"/>
    <xf numFmtId="0" fontId="87" fillId="0" borderId="13" xfId="0" applyFont="1" applyBorder="1"/>
    <xf numFmtId="165" fontId="87" fillId="0" borderId="19" xfId="1" applyNumberFormat="1" applyFont="1" applyBorder="1"/>
    <xf numFmtId="165" fontId="87" fillId="0" borderId="20" xfId="1" applyNumberFormat="1" applyFont="1" applyBorder="1"/>
    <xf numFmtId="0" fontId="87" fillId="0" borderId="0" xfId="0" applyFont="1" applyAlignment="1">
      <alignment horizontal="center" vertical="center"/>
    </xf>
    <xf numFmtId="0" fontId="0" fillId="0" borderId="19" xfId="0" applyBorder="1"/>
    <xf numFmtId="0" fontId="0" fillId="0" borderId="21" xfId="0" applyBorder="1"/>
    <xf numFmtId="9" fontId="0" fillId="0" borderId="22" xfId="0" applyNumberFormat="1" applyBorder="1"/>
    <xf numFmtId="0" fontId="0" fillId="0" borderId="24" xfId="0" applyBorder="1"/>
    <xf numFmtId="165" fontId="0" fillId="0" borderId="24" xfId="0" applyNumberFormat="1" applyBorder="1"/>
    <xf numFmtId="9" fontId="0" fillId="0" borderId="25" xfId="0" applyNumberFormat="1" applyBorder="1"/>
    <xf numFmtId="9" fontId="0" fillId="0" borderId="0" xfId="2" applyFont="1" applyBorder="1"/>
    <xf numFmtId="0" fontId="0" fillId="0" borderId="20" xfId="0" applyBorder="1" applyAlignment="1">
      <alignment horizontal="right" vertical="center"/>
    </xf>
    <xf numFmtId="43" fontId="87" fillId="0" borderId="0" xfId="0" applyNumberFormat="1" applyFont="1"/>
    <xf numFmtId="2" fontId="0" fillId="0" borderId="0" xfId="0" applyNumberFormat="1"/>
    <xf numFmtId="0" fontId="91" fillId="19" borderId="0" xfId="0" applyFont="1" applyFill="1" applyAlignment="1">
      <alignment horizontal="left" vertical="center"/>
    </xf>
    <xf numFmtId="0" fontId="91" fillId="19" borderId="0" xfId="0" applyFont="1" applyFill="1" applyAlignment="1">
      <alignment vertical="center"/>
    </xf>
    <xf numFmtId="0" fontId="0" fillId="0" borderId="0" xfId="0" applyAlignment="1">
      <alignment horizontal="left"/>
    </xf>
    <xf numFmtId="170" fontId="93" fillId="20" borderId="32" xfId="0" applyNumberFormat="1" applyFont="1" applyFill="1" applyBorder="1" applyAlignment="1">
      <alignment horizontal="center" vertical="center"/>
    </xf>
    <xf numFmtId="170" fontId="93" fillId="20" borderId="4" xfId="0" applyNumberFormat="1" applyFont="1" applyFill="1" applyBorder="1" applyAlignment="1">
      <alignment horizontal="center" vertical="center"/>
    </xf>
    <xf numFmtId="165" fontId="87" fillId="14" borderId="0" xfId="1" applyNumberFormat="1" applyFont="1" applyFill="1" applyBorder="1"/>
    <xf numFmtId="165" fontId="87" fillId="13" borderId="36" xfId="1" applyNumberFormat="1" applyFont="1" applyFill="1" applyBorder="1"/>
    <xf numFmtId="165" fontId="87" fillId="23" borderId="1" xfId="1" applyNumberFormat="1" applyFont="1" applyFill="1" applyBorder="1"/>
    <xf numFmtId="0" fontId="0" fillId="0" borderId="24" xfId="0" applyBorder="1" applyAlignment="1">
      <alignment horizontal="left"/>
    </xf>
    <xf numFmtId="38" fontId="87" fillId="20" borderId="4" xfId="0" applyNumberFormat="1" applyFont="1" applyFill="1" applyBorder="1" applyAlignment="1">
      <alignment horizontal="left"/>
    </xf>
    <xf numFmtId="38" fontId="1" fillId="20" borderId="32" xfId="1" applyNumberFormat="1" applyFont="1" applyFill="1" applyBorder="1"/>
    <xf numFmtId="38" fontId="1" fillId="20" borderId="4" xfId="1" applyNumberFormat="1" applyFont="1" applyFill="1" applyBorder="1"/>
    <xf numFmtId="38" fontId="87" fillId="20" borderId="4" xfId="1" applyNumberFormat="1" applyFont="1" applyFill="1" applyBorder="1"/>
    <xf numFmtId="165" fontId="87" fillId="14" borderId="35" xfId="1" applyNumberFormat="1" applyFont="1" applyFill="1" applyBorder="1"/>
    <xf numFmtId="165" fontId="87" fillId="14" borderId="22" xfId="1" applyNumberFormat="1" applyFont="1" applyFill="1" applyBorder="1"/>
    <xf numFmtId="165" fontId="87" fillId="13" borderId="37" xfId="1" applyNumberFormat="1" applyFont="1" applyFill="1" applyBorder="1"/>
    <xf numFmtId="165" fontId="87" fillId="13" borderId="42" xfId="1" applyNumberFormat="1" applyFont="1" applyFill="1" applyBorder="1"/>
    <xf numFmtId="165" fontId="87" fillId="23" borderId="43" xfId="1" applyNumberFormat="1" applyFont="1" applyFill="1" applyBorder="1"/>
    <xf numFmtId="165" fontId="87" fillId="23" borderId="29" xfId="1" applyNumberFormat="1" applyFont="1" applyFill="1" applyBorder="1"/>
    <xf numFmtId="170" fontId="92" fillId="20" borderId="33" xfId="0" applyNumberFormat="1" applyFont="1" applyFill="1" applyBorder="1" applyAlignment="1">
      <alignment horizontal="left" vertical="center"/>
    </xf>
    <xf numFmtId="0" fontId="87" fillId="14" borderId="34" xfId="0" applyFont="1" applyFill="1" applyBorder="1" applyAlignment="1">
      <alignment horizontal="left"/>
    </xf>
    <xf numFmtId="0" fontId="87" fillId="13" borderId="9" xfId="0" applyFont="1" applyFill="1" applyBorder="1" applyAlignment="1">
      <alignment horizontal="left"/>
    </xf>
    <xf numFmtId="0" fontId="87" fillId="23" borderId="10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1" xfId="0" applyBorder="1" applyAlignment="1">
      <alignment horizontal="left"/>
    </xf>
    <xf numFmtId="0" fontId="94" fillId="0" borderId="0" xfId="0" applyFont="1"/>
    <xf numFmtId="165" fontId="95" fillId="25" borderId="34" xfId="1" applyNumberFormat="1" applyFont="1" applyFill="1" applyBorder="1" applyAlignment="1">
      <alignment horizontal="left" vertical="center"/>
    </xf>
    <xf numFmtId="0" fontId="96" fillId="14" borderId="34" xfId="0" applyFont="1" applyFill="1" applyBorder="1" applyAlignment="1">
      <alignment horizontal="left"/>
    </xf>
    <xf numFmtId="165" fontId="96" fillId="14" borderId="35" xfId="1" applyNumberFormat="1" applyFont="1" applyFill="1" applyBorder="1"/>
    <xf numFmtId="165" fontId="96" fillId="14" borderId="0" xfId="1" applyNumberFormat="1" applyFont="1" applyFill="1" applyBorder="1"/>
    <xf numFmtId="165" fontId="96" fillId="14" borderId="22" xfId="1" applyNumberFormat="1" applyFont="1" applyFill="1" applyBorder="1"/>
    <xf numFmtId="165" fontId="0" fillId="0" borderId="34" xfId="0" applyNumberFormat="1" applyBorder="1" applyAlignment="1">
      <alignment horizontal="left"/>
    </xf>
    <xf numFmtId="38" fontId="87" fillId="20" borderId="33" xfId="0" applyNumberFormat="1" applyFont="1" applyFill="1" applyBorder="1" applyAlignment="1">
      <alignment horizontal="left"/>
    </xf>
    <xf numFmtId="165" fontId="96" fillId="20" borderId="9" xfId="1" applyNumberFormat="1" applyFont="1" applyFill="1" applyBorder="1" applyAlignment="1">
      <alignment horizontal="left" vertical="center"/>
    </xf>
    <xf numFmtId="165" fontId="97" fillId="25" borderId="35" xfId="1" applyNumberFormat="1" applyFont="1" applyFill="1" applyBorder="1" applyAlignment="1">
      <alignment horizontal="center" vertical="center"/>
    </xf>
    <xf numFmtId="165" fontId="97" fillId="25" borderId="0" xfId="1" applyNumberFormat="1" applyFont="1" applyFill="1" applyBorder="1" applyAlignment="1">
      <alignment horizontal="center" vertical="center"/>
    </xf>
    <xf numFmtId="165" fontId="97" fillId="20" borderId="37" xfId="1" applyNumberFormat="1" applyFont="1" applyFill="1" applyBorder="1" applyAlignment="1">
      <alignment horizontal="center" vertical="center"/>
    </xf>
    <xf numFmtId="165" fontId="97" fillId="20" borderId="36" xfId="1" applyNumberFormat="1" applyFont="1" applyFill="1" applyBorder="1" applyAlignment="1">
      <alignment horizontal="center" vertical="center"/>
    </xf>
    <xf numFmtId="165" fontId="1" fillId="0" borderId="35" xfId="1" applyNumberFormat="1" applyFont="1" applyFill="1" applyBorder="1"/>
    <xf numFmtId="165" fontId="1" fillId="0" borderId="0" xfId="1" applyNumberFormat="1" applyFont="1" applyFill="1" applyBorder="1"/>
    <xf numFmtId="165" fontId="1" fillId="0" borderId="22" xfId="1" applyNumberFormat="1" applyFont="1" applyFill="1" applyBorder="1"/>
    <xf numFmtId="165" fontId="1" fillId="0" borderId="40" xfId="1" applyNumberFormat="1" applyFont="1" applyFill="1" applyBorder="1"/>
    <xf numFmtId="165" fontId="1" fillId="0" borderId="24" xfId="1" applyNumberFormat="1" applyFont="1" applyFill="1" applyBorder="1"/>
    <xf numFmtId="165" fontId="1" fillId="0" borderId="25" xfId="1" applyNumberFormat="1" applyFont="1" applyFill="1" applyBorder="1"/>
    <xf numFmtId="165" fontId="1" fillId="0" borderId="0" xfId="1" applyNumberFormat="1" applyFont="1"/>
    <xf numFmtId="0" fontId="1" fillId="0" borderId="0" xfId="0" applyFont="1"/>
    <xf numFmtId="165" fontId="98" fillId="21" borderId="8" xfId="1" applyNumberFormat="1" applyFont="1" applyFill="1" applyBorder="1" applyAlignment="1">
      <alignment horizontal="center" vertical="center"/>
    </xf>
    <xf numFmtId="0" fontId="99" fillId="19" borderId="0" xfId="0" applyFont="1" applyFill="1" applyAlignment="1">
      <alignment vertical="center"/>
    </xf>
    <xf numFmtId="0" fontId="100" fillId="0" borderId="0" xfId="0" applyFont="1"/>
    <xf numFmtId="170" fontId="99" fillId="21" borderId="6" xfId="0" applyNumberFormat="1" applyFont="1" applyFill="1" applyBorder="1" applyAlignment="1">
      <alignment horizontal="center" vertical="center"/>
    </xf>
    <xf numFmtId="165" fontId="99" fillId="21" borderId="39" xfId="1" applyNumberFormat="1" applyFont="1" applyFill="1" applyBorder="1" applyAlignment="1">
      <alignment horizontal="center" vertical="center"/>
    </xf>
    <xf numFmtId="165" fontId="81" fillId="13" borderId="8" xfId="1" applyNumberFormat="1" applyFont="1" applyFill="1" applyBorder="1"/>
    <xf numFmtId="165" fontId="99" fillId="24" borderId="38" xfId="1" applyNumberFormat="1" applyFont="1" applyFill="1" applyBorder="1"/>
    <xf numFmtId="165" fontId="99" fillId="21" borderId="39" xfId="1" applyNumberFormat="1" applyFont="1" applyFill="1" applyBorder="1"/>
    <xf numFmtId="165" fontId="98" fillId="21" borderId="8" xfId="1" applyNumberFormat="1" applyFont="1" applyFill="1" applyBorder="1"/>
    <xf numFmtId="165" fontId="98" fillId="21" borderId="26" xfId="1" applyNumberFormat="1" applyFont="1" applyFill="1" applyBorder="1"/>
    <xf numFmtId="165" fontId="99" fillId="0" borderId="0" xfId="1" applyNumberFormat="1" applyFont="1" applyFill="1" applyBorder="1"/>
    <xf numFmtId="38" fontId="99" fillId="21" borderId="6" xfId="1" applyNumberFormat="1" applyFont="1" applyFill="1" applyBorder="1"/>
    <xf numFmtId="165" fontId="100" fillId="0" borderId="0" xfId="1" applyNumberFormat="1" applyFont="1"/>
    <xf numFmtId="165" fontId="1" fillId="3" borderId="0" xfId="1" applyNumberFormat="1" applyFont="1" applyFill="1" applyBorder="1"/>
    <xf numFmtId="170" fontId="92" fillId="20" borderId="3" xfId="0" applyNumberFormat="1" applyFont="1" applyFill="1" applyBorder="1" applyAlignment="1">
      <alignment horizontal="left" vertical="center"/>
    </xf>
    <xf numFmtId="170" fontId="97" fillId="25" borderId="21" xfId="0" applyNumberFormat="1" applyFont="1" applyFill="1" applyBorder="1" applyAlignment="1">
      <alignment horizontal="left" vertical="center"/>
    </xf>
    <xf numFmtId="170" fontId="97" fillId="20" borderId="44" xfId="0" applyNumberFormat="1" applyFont="1" applyFill="1" applyBorder="1" applyAlignment="1">
      <alignment horizontal="left" vertical="center"/>
    </xf>
    <xf numFmtId="0" fontId="96" fillId="14" borderId="21" xfId="0" applyFont="1" applyFill="1" applyBorder="1" applyAlignment="1">
      <alignment horizontal="left"/>
    </xf>
    <xf numFmtId="0" fontId="87" fillId="14" borderId="21" xfId="0" applyFont="1" applyFill="1" applyBorder="1" applyAlignment="1">
      <alignment horizontal="left"/>
    </xf>
    <xf numFmtId="0" fontId="87" fillId="13" borderId="44" xfId="0" applyFont="1" applyFill="1" applyBorder="1" applyAlignment="1">
      <alignment horizontal="left"/>
    </xf>
    <xf numFmtId="165" fontId="99" fillId="22" borderId="39" xfId="1" applyNumberFormat="1" applyFont="1" applyFill="1" applyBorder="1"/>
    <xf numFmtId="0" fontId="87" fillId="23" borderId="28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87" fillId="8" borderId="44" xfId="0" applyFont="1" applyFill="1" applyBorder="1"/>
    <xf numFmtId="0" fontId="87" fillId="8" borderId="9" xfId="0" applyFont="1" applyFill="1" applyBorder="1"/>
    <xf numFmtId="165" fontId="87" fillId="8" borderId="37" xfId="1" applyNumberFormat="1" applyFont="1" applyFill="1" applyBorder="1"/>
    <xf numFmtId="165" fontId="87" fillId="8" borderId="36" xfId="1" applyNumberFormat="1" applyFont="1" applyFill="1" applyBorder="1"/>
    <xf numFmtId="165" fontId="87" fillId="8" borderId="42" xfId="1" applyNumberFormat="1" applyFont="1" applyFill="1" applyBorder="1"/>
    <xf numFmtId="38" fontId="87" fillId="6" borderId="4" xfId="0" applyNumberFormat="1" applyFont="1" applyFill="1" applyBorder="1" applyAlignment="1">
      <alignment horizontal="left"/>
    </xf>
    <xf numFmtId="165" fontId="87" fillId="6" borderId="33" xfId="1" applyNumberFormat="1" applyFont="1" applyFill="1" applyBorder="1" applyAlignment="1">
      <alignment horizontal="left"/>
    </xf>
    <xf numFmtId="38" fontId="99" fillId="22" borderId="6" xfId="1" applyNumberFormat="1" applyFont="1" applyFill="1" applyBorder="1"/>
    <xf numFmtId="38" fontId="87" fillId="6" borderId="32" xfId="1" applyNumberFormat="1" applyFont="1" applyFill="1" applyBorder="1"/>
    <xf numFmtId="38" fontId="87" fillId="6" borderId="4" xfId="1" applyNumberFormat="1" applyFont="1" applyFill="1" applyBorder="1"/>
    <xf numFmtId="9" fontId="90" fillId="0" borderId="0" xfId="2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5" fontId="46" fillId="3" borderId="0" xfId="1" applyNumberFormat="1" applyFont="1" applyFill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5" fontId="35" fillId="2" borderId="0" xfId="1" applyNumberFormat="1" applyFont="1" applyFill="1" applyAlignment="1">
      <alignment horizontal="center"/>
    </xf>
    <xf numFmtId="165" fontId="27" fillId="0" borderId="0" xfId="1" applyNumberFormat="1" applyFont="1" applyFill="1" applyBorder="1" applyAlignment="1" applyProtection="1">
      <alignment horizontal="center"/>
    </xf>
    <xf numFmtId="0" fontId="59" fillId="0" borderId="0" xfId="0" applyFont="1" applyAlignment="1">
      <alignment horizontal="center" vertical="center"/>
    </xf>
    <xf numFmtId="0" fontId="59" fillId="3" borderId="0" xfId="0" applyFont="1" applyFill="1" applyAlignment="1">
      <alignment horizontal="center" vertical="center"/>
    </xf>
    <xf numFmtId="165" fontId="65" fillId="0" borderId="0" xfId="1" applyNumberFormat="1" applyFont="1" applyAlignment="1">
      <alignment horizontal="center" vertical="center"/>
    </xf>
    <xf numFmtId="0" fontId="75" fillId="0" borderId="0" xfId="0" applyFont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'year summary'!$B$18:$B$19</c:f>
              <c:strCache>
                <c:ptCount val="2"/>
                <c:pt idx="0">
                  <c:v> First year </c:v>
                </c:pt>
                <c:pt idx="1">
                  <c:v> Aug 2024-July 2025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'year summary'!$A$20:$A$27</c:f>
              <c:strCache>
                <c:ptCount val="8"/>
                <c:pt idx="0">
                  <c:v> sales </c:v>
                </c:pt>
                <c:pt idx="2">
                  <c:v> Marketing Exp. </c:v>
                </c:pt>
                <c:pt idx="4">
                  <c:v> Operation Exp. </c:v>
                </c:pt>
                <c:pt idx="5">
                  <c:v> Total Exp. </c:v>
                </c:pt>
                <c:pt idx="7">
                  <c:v> Net Profit </c:v>
                </c:pt>
              </c:strCache>
            </c:strRef>
          </c:cat>
          <c:val>
            <c:numRef>
              <c:f>'year summary'!$B$20:$B$27</c:f>
              <c:numCache>
                <c:formatCode>General</c:formatCode>
                <c:ptCount val="8"/>
                <c:pt idx="0" formatCode="[$SAR]\ #,##0_);\([$SAR]\ #,##0\)">
                  <c:v>37152000</c:v>
                </c:pt>
                <c:pt idx="2" formatCode="[$SAR]\ #,##0_);\([$SAR]\ #,##0\)">
                  <c:v>2515500</c:v>
                </c:pt>
                <c:pt idx="4" formatCode="[$SAR]\ #,##0_);\([$SAR]\ #,##0\)">
                  <c:v>8661303.714999998</c:v>
                </c:pt>
                <c:pt idx="5" formatCode="[$SAR]\ #,##0_);\([$SAR]\ #,##0\)">
                  <c:v>11176803.714999998</c:v>
                </c:pt>
                <c:pt idx="7" formatCode="[$SAR]\ #,##0_);\([$SAR]\ #,##0\)">
                  <c:v>25975196.285000004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4-4BC3-AB16-46ACDECA420F}"/>
            </c:ext>
          </c:extLst>
        </c:ser>
        <c:ser>
          <c:idx val="1"/>
          <c:order val="1"/>
          <c:tx>
            <c:strRef>
              <c:f>'year summary'!$C$18:$C$19</c:f>
              <c:strCache>
                <c:ptCount val="2"/>
                <c:pt idx="0">
                  <c:v> Second Year </c:v>
                </c:pt>
                <c:pt idx="1">
                  <c:v> Aug 2025- July 2026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'year summary'!$A$20:$A$27</c:f>
              <c:strCache>
                <c:ptCount val="8"/>
                <c:pt idx="0">
                  <c:v> sales </c:v>
                </c:pt>
                <c:pt idx="2">
                  <c:v> Marketing Exp. </c:v>
                </c:pt>
                <c:pt idx="4">
                  <c:v> Operation Exp. </c:v>
                </c:pt>
                <c:pt idx="5">
                  <c:v> Total Exp. </c:v>
                </c:pt>
                <c:pt idx="7">
                  <c:v> Net Profit </c:v>
                </c:pt>
              </c:strCache>
            </c:strRef>
          </c:cat>
          <c:val>
            <c:numRef>
              <c:f>'year summary'!$C$20:$C$27</c:f>
              <c:numCache>
                <c:formatCode>[$SAR]\ #,##0_);\([$SAR]\ #,##0\)</c:formatCode>
                <c:ptCount val="8"/>
                <c:pt idx="0">
                  <c:v>103200000</c:v>
                </c:pt>
                <c:pt idx="2">
                  <c:v>6000000</c:v>
                </c:pt>
                <c:pt idx="4">
                  <c:v>22348224.999999996</c:v>
                </c:pt>
                <c:pt idx="5">
                  <c:v>28348224.999999996</c:v>
                </c:pt>
                <c:pt idx="7">
                  <c:v>74851775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34-4BC3-AB16-46ACDECA4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415360"/>
        <c:axId val="414564200"/>
      </c:barChart>
      <c:catAx>
        <c:axId val="42441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564200"/>
        <c:crosses val="autoZero"/>
        <c:auto val="1"/>
        <c:lblAlgn val="ctr"/>
        <c:lblOffset val="100"/>
        <c:noMultiLvlLbl val="0"/>
      </c:catAx>
      <c:valAx>
        <c:axId val="414564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SAR]\ #,##0_);\([$SAR]\ 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41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98908573928259"/>
          <c:y val="0.14856481481481484"/>
          <c:w val="0.76384142607174099"/>
          <c:h val="0.7208876494604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'year summary'!$C$18:$C$19</c:f>
              <c:strCache>
                <c:ptCount val="2"/>
                <c:pt idx="0">
                  <c:v> Second Year </c:v>
                </c:pt>
                <c:pt idx="1">
                  <c:v> Aug 2025- July 2026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'year summary'!$A$20:$A$27</c:f>
              <c:strCache>
                <c:ptCount val="8"/>
                <c:pt idx="0">
                  <c:v> sales </c:v>
                </c:pt>
                <c:pt idx="2">
                  <c:v> Marketing Exp. </c:v>
                </c:pt>
                <c:pt idx="4">
                  <c:v> Operation Exp. </c:v>
                </c:pt>
                <c:pt idx="5">
                  <c:v> Total Exp. </c:v>
                </c:pt>
                <c:pt idx="7">
                  <c:v> Net Profit </c:v>
                </c:pt>
              </c:strCache>
            </c:strRef>
          </c:cat>
          <c:val>
            <c:numRef>
              <c:f>'year summary'!$C$20:$C$27</c:f>
              <c:numCache>
                <c:formatCode>[$SAR]\ #,##0_);\([$SAR]\ #,##0\)</c:formatCode>
                <c:ptCount val="8"/>
                <c:pt idx="0">
                  <c:v>103200000</c:v>
                </c:pt>
                <c:pt idx="2">
                  <c:v>6000000</c:v>
                </c:pt>
                <c:pt idx="4">
                  <c:v>22348224.999999996</c:v>
                </c:pt>
                <c:pt idx="5">
                  <c:v>28348224.999999996</c:v>
                </c:pt>
                <c:pt idx="7">
                  <c:v>74851775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0-41C6-BC31-F96B3D56C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296152"/>
        <c:axId val="420296480"/>
      </c:barChart>
      <c:catAx>
        <c:axId val="420296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296480"/>
        <c:crosses val="autoZero"/>
        <c:auto val="1"/>
        <c:lblAlgn val="ctr"/>
        <c:lblOffset val="100"/>
        <c:noMultiLvlLbl val="0"/>
      </c:catAx>
      <c:valAx>
        <c:axId val="42029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SAR]\ #,##0_);\([$SAR]\ 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296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n-US" sz="2000" strike="noStrike" baseline="0">
                <a:solidFill>
                  <a:srgbClr val="0070C0"/>
                </a:solidFill>
              </a:rPr>
              <a:t>Sales Vs marketing in Suadi market 1st year</a:t>
            </a:r>
          </a:p>
        </c:rich>
      </c:tx>
      <c:layout>
        <c:manualLayout>
          <c:xMode val="edge"/>
          <c:yMode val="edge"/>
          <c:x val="0.20348141924671309"/>
          <c:y val="1.646090534979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704014176108394"/>
          <c:y val="0.1739781601373902"/>
          <c:w val="0.85378774758029286"/>
          <c:h val="0.6962047028072108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385628135710534E-2"/>
                  <c:y val="-6.944449845003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06750806203035"/>
                      <c:h val="0.1220850480109739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1229-4A4A-ACB9-1BFCD0FAD3F8}"/>
                </c:ext>
              </c:extLst>
            </c:dLbl>
            <c:dLbl>
              <c:idx val="1"/>
              <c:layout>
                <c:manualLayout>
                  <c:x val="8.3660125337082558E-2"/>
                  <c:y val="-9.7222222222222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29626551438211"/>
                      <c:h val="0.1220850480109739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229-4A4A-ACB9-1BFCD0FAD3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7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('year summary'!$A$54,'year summary'!$A$60)</c:f>
              <c:strCache>
                <c:ptCount val="2"/>
                <c:pt idx="0">
                  <c:v>Marketing</c:v>
                </c:pt>
                <c:pt idx="1">
                  <c:v>Sales</c:v>
                </c:pt>
              </c:strCache>
            </c:strRef>
          </c:cat>
          <c:val>
            <c:numRef>
              <c:f>('year summary'!$B$54,'year summary'!$B$60)</c:f>
              <c:numCache>
                <c:formatCode>[$SAR]\ #,##0_);\([$SAR]\ #,##0\)</c:formatCode>
                <c:ptCount val="2"/>
                <c:pt idx="0">
                  <c:v>2515500</c:v>
                </c:pt>
                <c:pt idx="1">
                  <c:v>37152000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9-4A4A-ACB9-1BFCD0FAD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7350912"/>
        <c:axId val="427350584"/>
        <c:axId val="0"/>
      </c:bar3DChart>
      <c:catAx>
        <c:axId val="42735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350584"/>
        <c:crosses val="autoZero"/>
        <c:auto val="1"/>
        <c:lblAlgn val="ctr"/>
        <c:lblOffset val="100"/>
        <c:noMultiLvlLbl val="0"/>
      </c:catAx>
      <c:valAx>
        <c:axId val="427350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SAR]\ #,##0_);\([$SAR]\ 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35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200" b="0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n-US" sz="2200" baseline="0">
                <a:solidFill>
                  <a:srgbClr val="0070C0"/>
                </a:solidFill>
              </a:rPr>
              <a:t>Saudi students targeted &amp; Percentage 1st year </a:t>
            </a:r>
          </a:p>
        </c:rich>
      </c:tx>
      <c:layout>
        <c:manualLayout>
          <c:xMode val="edge"/>
          <c:yMode val="edge"/>
          <c:x val="0.11095452751025954"/>
          <c:y val="2.1724376675032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200" b="0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9377767010907083E-2"/>
          <c:y val="0.21685011933439591"/>
          <c:w val="0.87172708273053501"/>
          <c:h val="0.64020348214388811"/>
        </c:manualLayout>
      </c:layout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474534392896074E-2"/>
                  <c:y val="-0.378649684590275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7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EC-4FCE-924C-D3F6DDD880AA}"/>
                </c:ext>
              </c:extLst>
            </c:dLbl>
            <c:dLbl>
              <c:idx val="2"/>
              <c:layout>
                <c:manualLayout>
                  <c:x val="5.732087227414321E-2"/>
                  <c:y val="-0.2013985718262839"/>
                </c:manualLayout>
              </c:layout>
              <c:tx>
                <c:rich>
                  <a:bodyPr/>
                  <a:lstStyle/>
                  <a:p>
                    <a:fld id="{2F2BC288-CAEE-47CC-85EB-A114990218C3}" type="VALUE">
                      <a:rPr lang="en-US" sz="1700" baseline="0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1EC-4FCE-924C-D3F6DDD880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'year summary'!$A$56:$A$58</c:f>
              <c:strCache>
                <c:ptCount val="3"/>
                <c:pt idx="0">
                  <c:v>No. Of Students</c:v>
                </c:pt>
                <c:pt idx="2">
                  <c:v>% of Targeted students</c:v>
                </c:pt>
              </c:strCache>
            </c:strRef>
          </c:cat>
          <c:val>
            <c:numRef>
              <c:f>'year summary'!$B$56:$B$58</c:f>
              <c:numCache>
                <c:formatCode>General</c:formatCode>
                <c:ptCount val="3"/>
                <c:pt idx="0" formatCode="_(* #,##0_);_(* \(#,##0\);_(* &quot;-&quot;??_);_(@_)">
                  <c:v>172000</c:v>
                </c:pt>
                <c:pt idx="2" formatCode="0.00%">
                  <c:v>1.44E-2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C-4FCE-924C-D3F6DDD88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4066616"/>
        <c:axId val="514071864"/>
        <c:axId val="0"/>
      </c:bar3DChart>
      <c:catAx>
        <c:axId val="514066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071864"/>
        <c:crosses val="autoZero"/>
        <c:auto val="1"/>
        <c:lblAlgn val="ctr"/>
        <c:lblOffset val="100"/>
        <c:noMultiLvlLbl val="0"/>
      </c:catAx>
      <c:valAx>
        <c:axId val="514071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066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</a:t>
            </a:r>
            <a:r>
              <a:rPr lang="en-US" sz="2400" b="1">
                <a:solidFill>
                  <a:srgbClr val="0070C0"/>
                </a:solidFill>
              </a:rPr>
              <a:t>First year  Saudi Arabia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'year summary'!$B$18:$B$19</c:f>
              <c:strCache>
                <c:ptCount val="2"/>
                <c:pt idx="0">
                  <c:v> First year </c:v>
                </c:pt>
                <c:pt idx="1">
                  <c:v> Aug 2024-July 2025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2121212121212119"/>
                  <c:y val="-0.338582747139262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FA-4D5C-B493-A581377F4C06}"/>
                </c:ext>
              </c:extLst>
            </c:dLbl>
            <c:dLbl>
              <c:idx val="2"/>
              <c:layout>
                <c:manualLayout>
                  <c:x val="3.2323232323232323E-3"/>
                  <c:y val="-0.118110260629975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FA-4D5C-B493-A581377F4C06}"/>
                </c:ext>
              </c:extLst>
            </c:dLbl>
            <c:dLbl>
              <c:idx val="4"/>
              <c:layout>
                <c:manualLayout>
                  <c:x val="8.0808080808080218E-3"/>
                  <c:y val="-7.0866156377985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FA-4D5C-B493-A581377F4C06}"/>
                </c:ext>
              </c:extLst>
            </c:dLbl>
            <c:dLbl>
              <c:idx val="5"/>
              <c:layout>
                <c:manualLayout>
                  <c:x val="1.4545454545454545E-2"/>
                  <c:y val="-0.19422576192484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FA-4D5C-B493-A581377F4C06}"/>
                </c:ext>
              </c:extLst>
            </c:dLbl>
            <c:dLbl>
              <c:idx val="7"/>
              <c:layout>
                <c:manualLayout>
                  <c:x val="3.2323232323232323E-3"/>
                  <c:y val="-0.33070872976393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FA-4D5C-B493-A581377F4C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'year summary'!$A$20:$A$27</c:f>
              <c:strCache>
                <c:ptCount val="8"/>
                <c:pt idx="0">
                  <c:v> sales </c:v>
                </c:pt>
                <c:pt idx="2">
                  <c:v> Marketing Exp. </c:v>
                </c:pt>
                <c:pt idx="4">
                  <c:v> Operation Exp. </c:v>
                </c:pt>
                <c:pt idx="5">
                  <c:v> Total Exp. </c:v>
                </c:pt>
                <c:pt idx="7">
                  <c:v> Net Profit </c:v>
                </c:pt>
              </c:strCache>
            </c:strRef>
          </c:cat>
          <c:val>
            <c:numRef>
              <c:f>'year summary'!$B$20:$B$27</c:f>
              <c:numCache>
                <c:formatCode>General</c:formatCode>
                <c:ptCount val="8"/>
                <c:pt idx="0" formatCode="[$SAR]\ #,##0_);\([$SAR]\ #,##0\)">
                  <c:v>37152000</c:v>
                </c:pt>
                <c:pt idx="2" formatCode="[$SAR]\ #,##0_);\([$SAR]\ #,##0\)">
                  <c:v>2515500</c:v>
                </c:pt>
                <c:pt idx="4" formatCode="[$SAR]\ #,##0_);\([$SAR]\ #,##0\)">
                  <c:v>8661303.714999998</c:v>
                </c:pt>
                <c:pt idx="5" formatCode="[$SAR]\ #,##0_);\([$SAR]\ #,##0\)">
                  <c:v>11176803.714999998</c:v>
                </c:pt>
                <c:pt idx="7" formatCode="[$SAR]\ #,##0_);\([$SAR]\ #,##0\)">
                  <c:v>25975196.285000004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A-4D5C-B493-A581377F4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9451064"/>
        <c:axId val="509453032"/>
        <c:axId val="0"/>
      </c:bar3DChart>
      <c:catAx>
        <c:axId val="509451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53032"/>
        <c:crosses val="autoZero"/>
        <c:auto val="1"/>
        <c:lblAlgn val="ctr"/>
        <c:lblOffset val="100"/>
        <c:noMultiLvlLbl val="0"/>
      </c:catAx>
      <c:valAx>
        <c:axId val="509453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SAR]\ #,##0_);\([$SAR]\ 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51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Kashcool students share in KSA - First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D2B-48B0-99AB-8C663141C5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D2B-48B0-99AB-8C663141C53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('year summary'!$A$2,'year summary'!$A$4)</c:f>
              <c:strCache>
                <c:ptCount val="2"/>
                <c:pt idx="0">
                  <c:v> No. of Students </c:v>
                </c:pt>
                <c:pt idx="1">
                  <c:v> No. of targeted student </c:v>
                </c:pt>
              </c:strCache>
            </c:strRef>
          </c:cat>
          <c:val>
            <c:numRef>
              <c:f>('year summary'!$B$2,'year summary'!$B$4)</c:f>
              <c:numCache>
                <c:formatCode>_(* #,##0_);_(* \(#,##0\);_(* "-"??_);_(@_)</c:formatCode>
                <c:ptCount val="2"/>
                <c:pt idx="0">
                  <c:v>8600000</c:v>
                </c:pt>
                <c:pt idx="1">
                  <c:v>172000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0-4224-9B6D-6B08A14456A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591166924753223"/>
          <c:y val="0.31524254336037455"/>
          <c:w val="0.29084955908114585"/>
          <c:h val="0.3961171209457255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1543049</xdr:colOff>
      <xdr:row>28</xdr:row>
      <xdr:rowOff>14286</xdr:rowOff>
    </xdr:from>
    <xdr:to>
      <xdr:col>18</xdr:col>
      <xdr:colOff>123825</xdr:colOff>
      <xdr:row>46</xdr:row>
      <xdr:rowOff>161925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145EB1D-4448-4AB0-84AB-6F2450983A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45810</xdr:colOff>
      <xdr:row>14</xdr:row>
      <xdr:rowOff>150358</xdr:rowOff>
    </xdr:from>
    <xdr:to>
      <xdr:col>19</xdr:col>
      <xdr:colOff>530225</xdr:colOff>
      <xdr:row>26</xdr:row>
      <xdr:rowOff>231321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6B414EC-96A9-46DA-8D14-EA44AE6BC8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409575</xdr:colOff>
      <xdr:row>47</xdr:row>
      <xdr:rowOff>114300</xdr:rowOff>
    </xdr:from>
    <xdr:to>
      <xdr:col>15</xdr:col>
      <xdr:colOff>504826</xdr:colOff>
      <xdr:row>69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59F892-A478-4A1C-A5EC-50FC567D25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342899</xdr:colOff>
      <xdr:row>47</xdr:row>
      <xdr:rowOff>123826</xdr:rowOff>
    </xdr:from>
    <xdr:to>
      <xdr:col>27</xdr:col>
      <xdr:colOff>390525</xdr:colOff>
      <xdr:row>70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638128D-2C54-4EB9-B9E2-8EC1C88D16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2</xdr:col>
      <xdr:colOff>295275</xdr:colOff>
      <xdr:row>93</xdr:row>
      <xdr:rowOff>123825</xdr:rowOff>
    </xdr:from>
    <xdr:ext cx="90487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8BCCEC9-D36E-428E-97BA-BF55A6560FFF}"/>
            </a:ext>
          </a:extLst>
        </xdr:cNvPr>
        <xdr:cNvSpPr txBox="1"/>
      </xdr:nvSpPr>
      <xdr:spPr>
        <a:xfrm>
          <a:off x="5314950" y="24298275"/>
          <a:ext cx="9048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400050</xdr:colOff>
      <xdr:row>71</xdr:row>
      <xdr:rowOff>76200</xdr:rowOff>
    </xdr:from>
    <xdr:to>
      <xdr:col>18</xdr:col>
      <xdr:colOff>333375</xdr:colOff>
      <xdr:row>97</xdr:row>
      <xdr:rowOff>57150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643D0CD9-19AB-4992-A52F-93E91EDC04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226786</xdr:colOff>
      <xdr:row>0</xdr:row>
      <xdr:rowOff>0</xdr:rowOff>
    </xdr:from>
    <xdr:to>
      <xdr:col>15</xdr:col>
      <xdr:colOff>353784</xdr:colOff>
      <xdr:row>6</xdr:row>
      <xdr:rowOff>81643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111BD2-E85D-88F0-2E4C-1F63C3E2F4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16</xdr:row>
      <xdr:rowOff>23813</xdr:rowOff>
    </xdr:from>
    <xdr:to>
      <xdr:col>12</xdr:col>
      <xdr:colOff>111125</xdr:colOff>
      <xdr:row>25</xdr:row>
      <xdr:rowOff>24378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C925F7-6D54-2498-C71F-A436D4F6F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5070" y="390702"/>
          <a:ext cx="4134554" cy="16586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134938</xdr:colOff>
      <xdr:row>20</xdr:row>
      <xdr:rowOff>142882</xdr:rowOff>
    </xdr:from>
    <xdr:to>
      <xdr:col>5</xdr:col>
      <xdr:colOff>357188</xdr:colOff>
      <xdr:row>22</xdr:row>
      <xdr:rowOff>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AF3ADAAA-1581-3FEF-AD3B-D4E3423C8EC0}"/>
            </a:ext>
          </a:extLst>
        </xdr:cNvPr>
        <xdr:cNvSpPr/>
      </xdr:nvSpPr>
      <xdr:spPr>
        <a:xfrm>
          <a:off x="3394605" y="1250604"/>
          <a:ext cx="2204861" cy="34395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560060</xdr:colOff>
      <xdr:row>16</xdr:row>
      <xdr:rowOff>7938</xdr:rowOff>
    </xdr:from>
    <xdr:to>
      <xdr:col>17</xdr:col>
      <xdr:colOff>349250</xdr:colOff>
      <xdr:row>25</xdr:row>
      <xdr:rowOff>31441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AD67C8-7A1B-A7B6-994F-B1B82E382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11935" y="2928938"/>
          <a:ext cx="2845128" cy="167450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417443</xdr:colOff>
      <xdr:row>35</xdr:row>
      <xdr:rowOff>166688</xdr:rowOff>
    </xdr:from>
    <xdr:to>
      <xdr:col>12</xdr:col>
      <xdr:colOff>47625</xdr:colOff>
      <xdr:row>44</xdr:row>
      <xdr:rowOff>38460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21A6D2-A291-6014-5F0C-119C4DF29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3887" y="2558521"/>
          <a:ext cx="4082237" cy="15227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55564</xdr:colOff>
      <xdr:row>39</xdr:row>
      <xdr:rowOff>174625</xdr:rowOff>
    </xdr:from>
    <xdr:to>
      <xdr:col>5</xdr:col>
      <xdr:colOff>277814</xdr:colOff>
      <xdr:row>41</xdr:row>
      <xdr:rowOff>71437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168DE404-2D28-4062-B1F0-CEBF0B8F550A}"/>
            </a:ext>
          </a:extLst>
        </xdr:cNvPr>
        <xdr:cNvSpPr/>
      </xdr:nvSpPr>
      <xdr:spPr>
        <a:xfrm>
          <a:off x="3135314" y="5849938"/>
          <a:ext cx="1444625" cy="26193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456799</xdr:colOff>
      <xdr:row>47</xdr:row>
      <xdr:rowOff>31749</xdr:rowOff>
    </xdr:from>
    <xdr:to>
      <xdr:col>12</xdr:col>
      <xdr:colOff>7938</xdr:colOff>
      <xdr:row>55</xdr:row>
      <xdr:rowOff>89604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2BDA95-A2DA-3F8E-88C6-DDD961736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58924" y="7167562"/>
          <a:ext cx="4027889" cy="151835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79380</xdr:colOff>
      <xdr:row>51</xdr:row>
      <xdr:rowOff>0</xdr:rowOff>
    </xdr:from>
    <xdr:to>
      <xdr:col>5</xdr:col>
      <xdr:colOff>301630</xdr:colOff>
      <xdr:row>52</xdr:row>
      <xdr:rowOff>79375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5FE244AB-D410-468F-8CB4-E7CA5513930D}"/>
            </a:ext>
          </a:extLst>
        </xdr:cNvPr>
        <xdr:cNvSpPr/>
      </xdr:nvSpPr>
      <xdr:spPr>
        <a:xfrm>
          <a:off x="3159130" y="7866063"/>
          <a:ext cx="1444625" cy="26193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460375</xdr:colOff>
      <xdr:row>58</xdr:row>
      <xdr:rowOff>107537</xdr:rowOff>
    </xdr:from>
    <xdr:to>
      <xdr:col>17</xdr:col>
      <xdr:colOff>39687</xdr:colOff>
      <xdr:row>66</xdr:row>
      <xdr:rowOff>15875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CEF8705-9502-25B3-6EFF-C0C77775F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99486" y="6718593"/>
          <a:ext cx="2613201" cy="137589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453594</xdr:colOff>
      <xdr:row>58</xdr:row>
      <xdr:rowOff>103188</xdr:rowOff>
    </xdr:from>
    <xdr:to>
      <xdr:col>11</xdr:col>
      <xdr:colOff>593757</xdr:colOff>
      <xdr:row>66</xdr:row>
      <xdr:rowOff>15875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A2B66E6-942F-6413-643A-ECF07B469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55719" y="9247188"/>
          <a:ext cx="4010136" cy="13731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111125</xdr:colOff>
      <xdr:row>61</xdr:row>
      <xdr:rowOff>103188</xdr:rowOff>
    </xdr:from>
    <xdr:to>
      <xdr:col>5</xdr:col>
      <xdr:colOff>333375</xdr:colOff>
      <xdr:row>63</xdr:row>
      <xdr:rowOff>0</xdr:rowOff>
    </xdr:to>
    <xdr:sp macro="" textlink="">
      <xdr:nvSpPr>
        <xdr:cNvPr id="11" name="Arrow: Right 10">
          <a:extLst>
            <a:ext uri="{FF2B5EF4-FFF2-40B4-BE49-F238E27FC236}">
              <a16:creationId xmlns:a16="http://schemas.microsoft.com/office/drawing/2014/main" id="{48F72FCA-045D-41F7-978E-A1DDCC4A29DE}"/>
            </a:ext>
          </a:extLst>
        </xdr:cNvPr>
        <xdr:cNvSpPr/>
      </xdr:nvSpPr>
      <xdr:spPr>
        <a:xfrm>
          <a:off x="3190875" y="9794876"/>
          <a:ext cx="1444625" cy="26193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539750</xdr:colOff>
      <xdr:row>68</xdr:row>
      <xdr:rowOff>138302</xdr:rowOff>
    </xdr:from>
    <xdr:to>
      <xdr:col>12</xdr:col>
      <xdr:colOff>105835</xdr:colOff>
      <xdr:row>79</xdr:row>
      <xdr:rowOff>48904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69D9D6F-AFF8-9389-1F5C-3E7CA1E9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0028" y="11159080"/>
          <a:ext cx="4018140" cy="1928490"/>
        </a:xfrm>
        <a:prstGeom prst="rect">
          <a:avLst/>
        </a:prstGeom>
      </xdr:spPr>
    </xdr:pic>
    <xdr:clientData/>
  </xdr:twoCellAnchor>
  <xdr:twoCellAnchor>
    <xdr:from>
      <xdr:col>2</xdr:col>
      <xdr:colOff>127008</xdr:colOff>
      <xdr:row>73</xdr:row>
      <xdr:rowOff>0</xdr:rowOff>
    </xdr:from>
    <xdr:to>
      <xdr:col>5</xdr:col>
      <xdr:colOff>349258</xdr:colOff>
      <xdr:row>74</xdr:row>
      <xdr:rowOff>79375</xdr:rowOff>
    </xdr:to>
    <xdr:sp macro="" textlink="">
      <xdr:nvSpPr>
        <xdr:cNvPr id="13" name="Arrow: Right 12">
          <a:extLst>
            <a:ext uri="{FF2B5EF4-FFF2-40B4-BE49-F238E27FC236}">
              <a16:creationId xmlns:a16="http://schemas.microsoft.com/office/drawing/2014/main" id="{7399AB6F-1E85-468B-9C52-BF859CEAF2BA}"/>
            </a:ext>
          </a:extLst>
        </xdr:cNvPr>
        <xdr:cNvSpPr/>
      </xdr:nvSpPr>
      <xdr:spPr>
        <a:xfrm>
          <a:off x="3206758" y="11882438"/>
          <a:ext cx="1444625" cy="26193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522111</xdr:colOff>
      <xdr:row>26</xdr:row>
      <xdr:rowOff>21166</xdr:rowOff>
    </xdr:from>
    <xdr:to>
      <xdr:col>10</xdr:col>
      <xdr:colOff>24693</xdr:colOff>
      <xdr:row>34</xdr:row>
      <xdr:rowOff>63006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9696821-BF9C-F27A-DF76-32A79D17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4389" y="2229555"/>
          <a:ext cx="2741082" cy="1509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148166</xdr:colOff>
      <xdr:row>30</xdr:row>
      <xdr:rowOff>7055</xdr:rowOff>
    </xdr:from>
    <xdr:to>
      <xdr:col>5</xdr:col>
      <xdr:colOff>370416</xdr:colOff>
      <xdr:row>31</xdr:row>
      <xdr:rowOff>47618</xdr:rowOff>
    </xdr:to>
    <xdr:sp macro="" textlink="">
      <xdr:nvSpPr>
        <xdr:cNvPr id="15" name="Arrow: Right 14">
          <a:extLst>
            <a:ext uri="{FF2B5EF4-FFF2-40B4-BE49-F238E27FC236}">
              <a16:creationId xmlns:a16="http://schemas.microsoft.com/office/drawing/2014/main" id="{E31556F2-2940-4A59-8B3F-24D821837C85}"/>
            </a:ext>
          </a:extLst>
        </xdr:cNvPr>
        <xdr:cNvSpPr/>
      </xdr:nvSpPr>
      <xdr:spPr>
        <a:xfrm>
          <a:off x="3407833" y="2949222"/>
          <a:ext cx="2204861" cy="22400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16</xdr:row>
      <xdr:rowOff>23813</xdr:rowOff>
    </xdr:from>
    <xdr:to>
      <xdr:col>12</xdr:col>
      <xdr:colOff>238125</xdr:colOff>
      <xdr:row>25</xdr:row>
      <xdr:rowOff>24378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03E63F-B67F-4D72-BCA3-3E44B3DDA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1726" y="2976563"/>
          <a:ext cx="4152899" cy="16642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134938</xdr:colOff>
      <xdr:row>20</xdr:row>
      <xdr:rowOff>142882</xdr:rowOff>
    </xdr:from>
    <xdr:to>
      <xdr:col>5</xdr:col>
      <xdr:colOff>357188</xdr:colOff>
      <xdr:row>22</xdr:row>
      <xdr:rowOff>39694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977D65B8-0F3C-4E47-A48F-CBF86D684385}"/>
            </a:ext>
          </a:extLst>
        </xdr:cNvPr>
        <xdr:cNvSpPr/>
      </xdr:nvSpPr>
      <xdr:spPr>
        <a:xfrm>
          <a:off x="3240088" y="3838582"/>
          <a:ext cx="1600200" cy="26511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560060</xdr:colOff>
      <xdr:row>16</xdr:row>
      <xdr:rowOff>7938</xdr:rowOff>
    </xdr:from>
    <xdr:to>
      <xdr:col>17</xdr:col>
      <xdr:colOff>349250</xdr:colOff>
      <xdr:row>25</xdr:row>
      <xdr:rowOff>31441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964298-DE30-451D-9569-C5B8ABDE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6560" y="2960688"/>
          <a:ext cx="2837190" cy="168720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417443</xdr:colOff>
      <xdr:row>27</xdr:row>
      <xdr:rowOff>166688</xdr:rowOff>
    </xdr:from>
    <xdr:to>
      <xdr:col>12</xdr:col>
      <xdr:colOff>174625</xdr:colOff>
      <xdr:row>36</xdr:row>
      <xdr:rowOff>38460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E89B71-4E55-4237-9953-1E4A2F19D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00543" y="5151438"/>
          <a:ext cx="4100582" cy="152912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55564</xdr:colOff>
      <xdr:row>31</xdr:row>
      <xdr:rowOff>174625</xdr:rowOff>
    </xdr:from>
    <xdr:to>
      <xdr:col>5</xdr:col>
      <xdr:colOff>277814</xdr:colOff>
      <xdr:row>33</xdr:row>
      <xdr:rowOff>71437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49D42BD4-F665-4844-876C-85765A105066}"/>
            </a:ext>
          </a:extLst>
        </xdr:cNvPr>
        <xdr:cNvSpPr/>
      </xdr:nvSpPr>
      <xdr:spPr>
        <a:xfrm>
          <a:off x="3160714" y="5895975"/>
          <a:ext cx="1600200" cy="26511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456799</xdr:colOff>
      <xdr:row>39</xdr:row>
      <xdr:rowOff>31749</xdr:rowOff>
    </xdr:from>
    <xdr:to>
      <xdr:col>12</xdr:col>
      <xdr:colOff>134938</xdr:colOff>
      <xdr:row>47</xdr:row>
      <xdr:rowOff>89605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16FE17A-A865-48C5-9D31-EABEBC5EC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9899" y="7226299"/>
          <a:ext cx="4021539" cy="153105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79380</xdr:colOff>
      <xdr:row>43</xdr:row>
      <xdr:rowOff>0</xdr:rowOff>
    </xdr:from>
    <xdr:to>
      <xdr:col>5</xdr:col>
      <xdr:colOff>301630</xdr:colOff>
      <xdr:row>44</xdr:row>
      <xdr:rowOff>79375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8481B21A-CFC0-4B6B-AC4A-E1A8A06C0545}"/>
            </a:ext>
          </a:extLst>
        </xdr:cNvPr>
        <xdr:cNvSpPr/>
      </xdr:nvSpPr>
      <xdr:spPr>
        <a:xfrm>
          <a:off x="3184530" y="7931150"/>
          <a:ext cx="1600200" cy="2635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460375</xdr:colOff>
      <xdr:row>50</xdr:row>
      <xdr:rowOff>107537</xdr:rowOff>
    </xdr:from>
    <xdr:to>
      <xdr:col>17</xdr:col>
      <xdr:colOff>39687</xdr:colOff>
      <xdr:row>58</xdr:row>
      <xdr:rowOff>15876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E2037DC-44D0-4319-A7CD-0993A8108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86875" y="9327737"/>
          <a:ext cx="2627312" cy="13815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453594</xdr:colOff>
      <xdr:row>50</xdr:row>
      <xdr:rowOff>103188</xdr:rowOff>
    </xdr:from>
    <xdr:to>
      <xdr:col>12</xdr:col>
      <xdr:colOff>113980</xdr:colOff>
      <xdr:row>58</xdr:row>
      <xdr:rowOff>15876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9825D78-319B-437C-964C-A653DB419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36694" y="9323388"/>
          <a:ext cx="4003786" cy="13858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111125</xdr:colOff>
      <xdr:row>53</xdr:row>
      <xdr:rowOff>103188</xdr:rowOff>
    </xdr:from>
    <xdr:to>
      <xdr:col>5</xdr:col>
      <xdr:colOff>333375</xdr:colOff>
      <xdr:row>55</xdr:row>
      <xdr:rowOff>0</xdr:rowOff>
    </xdr:to>
    <xdr:sp macro="" textlink="">
      <xdr:nvSpPr>
        <xdr:cNvPr id="11" name="Arrow: Right 10">
          <a:extLst>
            <a:ext uri="{FF2B5EF4-FFF2-40B4-BE49-F238E27FC236}">
              <a16:creationId xmlns:a16="http://schemas.microsoft.com/office/drawing/2014/main" id="{DC9748EB-AD36-47D3-A5A1-141DAAE20B14}"/>
            </a:ext>
          </a:extLst>
        </xdr:cNvPr>
        <xdr:cNvSpPr/>
      </xdr:nvSpPr>
      <xdr:spPr>
        <a:xfrm>
          <a:off x="3216275" y="9875838"/>
          <a:ext cx="1600200" cy="26511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539750</xdr:colOff>
      <xdr:row>60</xdr:row>
      <xdr:rowOff>138302</xdr:rowOff>
    </xdr:from>
    <xdr:to>
      <xdr:col>12</xdr:col>
      <xdr:colOff>232835</xdr:colOff>
      <xdr:row>71</xdr:row>
      <xdr:rowOff>48903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AD08CA5-FFE1-424F-9DDC-759D6A039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2850" y="11200002"/>
          <a:ext cx="4036485" cy="1936251"/>
        </a:xfrm>
        <a:prstGeom prst="rect">
          <a:avLst/>
        </a:prstGeom>
      </xdr:spPr>
    </xdr:pic>
    <xdr:clientData/>
  </xdr:twoCellAnchor>
  <xdr:twoCellAnchor>
    <xdr:from>
      <xdr:col>2</xdr:col>
      <xdr:colOff>127008</xdr:colOff>
      <xdr:row>65</xdr:row>
      <xdr:rowOff>0</xdr:rowOff>
    </xdr:from>
    <xdr:to>
      <xdr:col>5</xdr:col>
      <xdr:colOff>349258</xdr:colOff>
      <xdr:row>66</xdr:row>
      <xdr:rowOff>79375</xdr:rowOff>
    </xdr:to>
    <xdr:sp macro="" textlink="">
      <xdr:nvSpPr>
        <xdr:cNvPr id="13" name="Arrow: Right 12">
          <a:extLst>
            <a:ext uri="{FF2B5EF4-FFF2-40B4-BE49-F238E27FC236}">
              <a16:creationId xmlns:a16="http://schemas.microsoft.com/office/drawing/2014/main" id="{51B383D7-47FC-4747-9650-4742DC1A7EC1}"/>
            </a:ext>
          </a:extLst>
        </xdr:cNvPr>
        <xdr:cNvSpPr/>
      </xdr:nvSpPr>
      <xdr:spPr>
        <a:xfrm>
          <a:off x="3232158" y="11982450"/>
          <a:ext cx="1600200" cy="2635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openai.com/api/pricing/" TargetMode="External"/><Relationship Id="rId1" Type="http://schemas.openxmlformats.org/officeDocument/2006/relationships/hyperlink" Target="https://openai.com/pricing" TargetMode="External"/><Relationship Id="rId4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penai.com/pricin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"/>
  <sheetViews>
    <sheetView showGridLines="0" zoomScale="70" zoomScaleNormal="70" workbookViewId="0">
      <selection activeCell="C15" sqref="C15"/>
    </sheetView>
  </sheetViews>
  <sheetFormatPr defaultRowHeight="15.5" x14ac:dyDescent="0.35"/>
  <cols>
    <col min="1" max="1" width="47" style="375" bestFit="1" customWidth="1"/>
    <col min="2" max="2" width="28.26953125" bestFit="1" customWidth="1"/>
    <col min="3" max="3" width="30.26953125" bestFit="1" customWidth="1"/>
    <col min="4" max="4" width="23.1796875" hidden="1" customWidth="1"/>
    <col min="5" max="5" width="23.453125" hidden="1" customWidth="1"/>
    <col min="6" max="6" width="0" hidden="1" customWidth="1"/>
    <col min="10" max="10" width="11.54296875" bestFit="1" customWidth="1"/>
  </cols>
  <sheetData>
    <row r="1" spans="1:24" ht="35.15" customHeight="1" thickBot="1" x14ac:dyDescent="0.4">
      <c r="A1" s="425"/>
      <c r="B1" s="421" t="s">
        <v>153</v>
      </c>
      <c r="C1" s="421" t="s">
        <v>74</v>
      </c>
    </row>
    <row r="2" spans="1:24" ht="35.15" customHeight="1" x14ac:dyDescent="0.45">
      <c r="A2" s="426" t="s">
        <v>165</v>
      </c>
      <c r="B2" s="419">
        <f>'year 1'!C17</f>
        <v>8600000</v>
      </c>
      <c r="C2" s="427">
        <v>8600000</v>
      </c>
      <c r="D2" s="422">
        <f>'year 3'!B16</f>
        <v>7000000</v>
      </c>
    </row>
    <row r="3" spans="1:24" ht="35.15" customHeight="1" x14ac:dyDescent="0.45">
      <c r="A3" s="426" t="s">
        <v>173</v>
      </c>
      <c r="B3" s="420">
        <f>'year 1'!B7</f>
        <v>0.02</v>
      </c>
      <c r="C3" s="428">
        <v>0.04</v>
      </c>
      <c r="D3" s="423">
        <f>'year 3'!O16</f>
        <v>0.25124999999999997</v>
      </c>
    </row>
    <row r="4" spans="1:24" ht="35.15" customHeight="1" x14ac:dyDescent="0.45">
      <c r="A4" s="426" t="s">
        <v>172</v>
      </c>
      <c r="B4" s="419">
        <f>B2*B3</f>
        <v>172000</v>
      </c>
      <c r="C4" s="427">
        <f>C2*C3</f>
        <v>344000</v>
      </c>
      <c r="D4" s="422">
        <f>D2*D3</f>
        <v>1758749.9999999998</v>
      </c>
    </row>
    <row r="5" spans="1:24" ht="35.15" customHeight="1" x14ac:dyDescent="0.45">
      <c r="A5" s="426" t="s">
        <v>171</v>
      </c>
      <c r="B5" s="419">
        <v>300</v>
      </c>
      <c r="C5" s="427">
        <v>300</v>
      </c>
      <c r="D5" s="422">
        <f>D4*2</f>
        <v>3517499.9999999995</v>
      </c>
    </row>
    <row r="6" spans="1:24" ht="35.15" customHeight="1" thickBot="1" x14ac:dyDescent="0.5">
      <c r="A6" s="429" t="s">
        <v>163</v>
      </c>
      <c r="B6" s="430">
        <f>B4*B5</f>
        <v>51600000</v>
      </c>
      <c r="C6" s="431">
        <f>C4*C5</f>
        <v>103200000</v>
      </c>
      <c r="D6" s="424" t="s">
        <v>164</v>
      </c>
    </row>
    <row r="7" spans="1:24" ht="18.5" x14ac:dyDescent="0.45">
      <c r="A7" s="396"/>
      <c r="B7" s="397"/>
      <c r="C7" s="398"/>
      <c r="D7" s="398"/>
    </row>
    <row r="8" spans="1:24" ht="18.5" x14ac:dyDescent="0.45">
      <c r="A8" s="396"/>
      <c r="B8" s="397"/>
      <c r="C8" s="398"/>
      <c r="D8" s="398"/>
    </row>
    <row r="9" spans="1:24" ht="18.5" x14ac:dyDescent="0.45">
      <c r="A9" s="396"/>
      <c r="B9" s="397"/>
      <c r="C9" s="398"/>
      <c r="D9" s="398"/>
    </row>
    <row r="10" spans="1:24" ht="18.5" x14ac:dyDescent="0.45">
      <c r="A10" s="396"/>
      <c r="B10" s="397"/>
      <c r="C10" s="398"/>
      <c r="D10" s="398"/>
    </row>
    <row r="11" spans="1:24" ht="18.5" x14ac:dyDescent="0.45">
      <c r="A11" s="396"/>
      <c r="B11" s="397"/>
      <c r="C11" s="398"/>
      <c r="D11" s="398"/>
    </row>
    <row r="12" spans="1:24" ht="18.5" x14ac:dyDescent="0.45">
      <c r="A12" s="396"/>
      <c r="B12" s="397"/>
      <c r="C12" s="398"/>
      <c r="D12" s="398"/>
    </row>
    <row r="13" spans="1:24" ht="19" thickBot="1" x14ac:dyDescent="0.5">
      <c r="A13" s="412"/>
      <c r="B13" s="413"/>
      <c r="C13" s="414"/>
      <c r="D13" s="414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  <c r="W13" s="415"/>
      <c r="X13" s="415"/>
    </row>
    <row r="14" spans="1:24" ht="19" thickTop="1" x14ac:dyDescent="0.45">
      <c r="A14" s="396"/>
      <c r="B14" s="397"/>
      <c r="C14" s="398"/>
      <c r="D14" s="398"/>
    </row>
    <row r="15" spans="1:24" ht="18.5" x14ac:dyDescent="0.45">
      <c r="A15" s="396"/>
      <c r="B15" s="397"/>
      <c r="C15" s="398"/>
      <c r="D15" s="398"/>
    </row>
    <row r="16" spans="1:24" ht="18.5" x14ac:dyDescent="0.45">
      <c r="A16" s="369"/>
      <c r="B16" s="397"/>
      <c r="C16" s="398"/>
      <c r="D16" s="398"/>
      <c r="J16" s="385"/>
    </row>
    <row r="17" spans="1:5" ht="19" thickBot="1" x14ac:dyDescent="0.5">
      <c r="B17" s="394"/>
      <c r="C17" s="395"/>
      <c r="D17" s="395"/>
    </row>
    <row r="18" spans="1:5" ht="18.5" thickBot="1" x14ac:dyDescent="0.45">
      <c r="B18" s="404" t="s">
        <v>153</v>
      </c>
      <c r="C18" s="404" t="s">
        <v>74</v>
      </c>
      <c r="D18" s="404" t="s">
        <v>75</v>
      </c>
      <c r="E18" s="404" t="s">
        <v>150</v>
      </c>
    </row>
    <row r="19" spans="1:5" ht="36.5" thickBot="1" x14ac:dyDescent="0.5">
      <c r="B19" s="403" t="s">
        <v>151</v>
      </c>
      <c r="C19" s="403" t="s">
        <v>227</v>
      </c>
      <c r="D19" s="403" t="s">
        <v>151</v>
      </c>
      <c r="E19" s="287"/>
    </row>
    <row r="20" spans="1:5" ht="23.5" thickBot="1" x14ac:dyDescent="0.55000000000000004">
      <c r="A20" s="329" t="s">
        <v>76</v>
      </c>
      <c r="B20" s="418">
        <f>'year 1'!P18</f>
        <v>37152000</v>
      </c>
      <c r="C20" s="418">
        <f>'year 2'!P18</f>
        <v>103200000</v>
      </c>
      <c r="D20" s="392">
        <f>'year 3'!O19</f>
        <v>175875000</v>
      </c>
      <c r="E20" s="400">
        <f>SUM(B20:D20)</f>
        <v>316227000</v>
      </c>
    </row>
    <row r="21" spans="1:5" ht="23.5" thickBot="1" x14ac:dyDescent="0.55000000000000004">
      <c r="A21" s="374"/>
      <c r="C21" s="418"/>
    </row>
    <row r="22" spans="1:5" ht="23.5" thickBot="1" x14ac:dyDescent="0.55000000000000004">
      <c r="A22" s="374" t="s">
        <v>81</v>
      </c>
      <c r="B22" s="418">
        <f>'year 1'!P23</f>
        <v>2515500</v>
      </c>
      <c r="C22" s="418">
        <f>'year 2'!P23</f>
        <v>6000000</v>
      </c>
      <c r="D22" s="399">
        <f>'year 3'!O24</f>
        <v>10000000</v>
      </c>
      <c r="E22" s="393">
        <f>SUM(B22:D22)</f>
        <v>18515500</v>
      </c>
    </row>
    <row r="23" spans="1:5" ht="23.5" thickBot="1" x14ac:dyDescent="0.55000000000000004">
      <c r="A23" s="369"/>
      <c r="B23" s="418"/>
      <c r="C23" s="418"/>
      <c r="D23" s="399">
        <f>'year 3'!O26</f>
        <v>0</v>
      </c>
      <c r="E23" s="393">
        <f>SUM(B23:D23)</f>
        <v>0</v>
      </c>
    </row>
    <row r="24" spans="1:5" ht="23.5" thickBot="1" x14ac:dyDescent="0.55000000000000004">
      <c r="A24" s="370" t="s">
        <v>170</v>
      </c>
      <c r="B24" s="418">
        <f>'year 1'!P46-'year summary'!B22-'year summary'!B23</f>
        <v>8661303.714999998</v>
      </c>
      <c r="C24" s="418">
        <f>'year 2'!P46-'year summary'!C22-'year summary'!C23</f>
        <v>22348224.999999996</v>
      </c>
      <c r="D24" s="410">
        <f>'year 3'!O50-'year summary'!D22-'year summary'!D23</f>
        <v>6925246.1538461559</v>
      </c>
      <c r="E24" s="393">
        <f>SUM(B24:D24)</f>
        <v>37934774.868846148</v>
      </c>
    </row>
    <row r="25" spans="1:5" ht="23" x14ac:dyDescent="0.5">
      <c r="A25" s="370" t="s">
        <v>166</v>
      </c>
      <c r="B25" s="418">
        <f>SUM(B22:B24)</f>
        <v>11176803.714999998</v>
      </c>
      <c r="C25" s="418">
        <f>SUM(C22:C24)</f>
        <v>28348224.999999996</v>
      </c>
      <c r="D25" s="411">
        <f>SUM(D22:D24)</f>
        <v>16925246.153846156</v>
      </c>
      <c r="E25" s="411">
        <f>SUM(B25:D25)</f>
        <v>56450274.868846148</v>
      </c>
    </row>
    <row r="26" spans="1:5" ht="23" x14ac:dyDescent="0.5">
      <c r="B26" s="418"/>
      <c r="C26" s="418"/>
      <c r="D26" s="401"/>
      <c r="E26" s="401"/>
    </row>
    <row r="27" spans="1:5" ht="23" x14ac:dyDescent="0.5">
      <c r="A27" s="370" t="s">
        <v>169</v>
      </c>
      <c r="B27" s="418">
        <f>B20-B25</f>
        <v>25975196.285000004</v>
      </c>
      <c r="C27" s="418">
        <f>C20-C25</f>
        <v>74851775</v>
      </c>
      <c r="D27" s="391">
        <f>D20-D25</f>
        <v>158949753.84615386</v>
      </c>
      <c r="E27" s="391">
        <f>D27+C27+B27</f>
        <v>259776725.13115385</v>
      </c>
    </row>
    <row r="29" spans="1:5" ht="18" x14ac:dyDescent="0.35">
      <c r="C29" s="214"/>
    </row>
    <row r="32" spans="1:5" x14ac:dyDescent="0.35">
      <c r="C32" s="385"/>
    </row>
    <row r="54" spans="1:2" ht="23.5" x14ac:dyDescent="0.55000000000000004">
      <c r="A54" s="375" t="s">
        <v>174</v>
      </c>
      <c r="B54" s="417">
        <f>'year 1'!P23</f>
        <v>2515500</v>
      </c>
    </row>
    <row r="56" spans="1:2" x14ac:dyDescent="0.35">
      <c r="A56" s="375" t="s">
        <v>167</v>
      </c>
      <c r="B56" s="385">
        <f>B4</f>
        <v>172000</v>
      </c>
    </row>
    <row r="58" spans="1:2" x14ac:dyDescent="0.35">
      <c r="A58" s="375" t="s">
        <v>175</v>
      </c>
      <c r="B58" s="416">
        <f>'year 1'!P17</f>
        <v>1.44E-2</v>
      </c>
    </row>
    <row r="60" spans="1:2" ht="23.5" x14ac:dyDescent="0.55000000000000004">
      <c r="A60" s="375" t="s">
        <v>168</v>
      </c>
      <c r="B60" s="417">
        <f>B20</f>
        <v>37152000</v>
      </c>
    </row>
    <row r="74" spans="1:1" x14ac:dyDescent="0.35">
      <c r="A74" s="375" t="s">
        <v>168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57"/>
  <sheetViews>
    <sheetView showGridLines="0" tabSelected="1" view="pageBreakPreview" topLeftCell="A4" zoomScale="60" zoomScaleNormal="60" workbookViewId="0">
      <pane xSplit="3" ySplit="1" topLeftCell="D5" activePane="bottomRight" state="frozen"/>
      <selection activeCell="A4" sqref="A4"/>
      <selection pane="topRight" activeCell="C4" sqref="C4"/>
      <selection pane="bottomLeft" activeCell="A5" sqref="A5"/>
      <selection pane="bottomRight" activeCell="C24" sqref="C24"/>
    </sheetView>
  </sheetViews>
  <sheetFormatPr defaultRowHeight="14.5" x14ac:dyDescent="0.35"/>
  <cols>
    <col min="1" max="1" width="41.26953125" style="228" bestFit="1" customWidth="1"/>
    <col min="2" max="2" width="6.453125" style="228" customWidth="1"/>
    <col min="3" max="3" width="14.36328125" style="228" bestFit="1" customWidth="1"/>
    <col min="4" max="4" width="12.08984375" style="228" bestFit="1" customWidth="1"/>
    <col min="5" max="8" width="14.36328125" style="228" bestFit="1" customWidth="1"/>
    <col min="9" max="12" width="15" style="228" bestFit="1" customWidth="1"/>
    <col min="13" max="14" width="15.81640625" style="228" bestFit="1" customWidth="1"/>
    <col min="15" max="15" width="15" style="228" bestFit="1" customWidth="1"/>
    <col min="16" max="16" width="18.54296875" style="228" customWidth="1"/>
    <col min="17" max="17" width="12.7265625" style="228" customWidth="1"/>
    <col min="18" max="16384" width="8.7265625" style="228"/>
  </cols>
  <sheetData>
    <row r="3" spans="1:17" ht="15" thickBot="1" x14ac:dyDescent="0.4"/>
    <row r="4" spans="1:17" ht="21" x14ac:dyDescent="0.35">
      <c r="A4" s="12"/>
      <c r="B4" s="12"/>
      <c r="C4" s="12"/>
      <c r="D4" s="440">
        <v>45505</v>
      </c>
      <c r="E4" s="440">
        <v>45536</v>
      </c>
      <c r="F4" s="440">
        <v>45566</v>
      </c>
      <c r="G4" s="440">
        <v>45597</v>
      </c>
      <c r="H4" s="440">
        <v>45627</v>
      </c>
      <c r="I4" s="440">
        <v>45658</v>
      </c>
      <c r="J4" s="440">
        <v>45689</v>
      </c>
      <c r="K4" s="440">
        <v>45717</v>
      </c>
      <c r="L4" s="440">
        <v>45748</v>
      </c>
      <c r="M4" s="440">
        <v>45778</v>
      </c>
      <c r="N4" s="440">
        <v>45809</v>
      </c>
      <c r="O4" s="440">
        <v>45839</v>
      </c>
      <c r="P4" s="441" t="s">
        <v>148</v>
      </c>
    </row>
    <row r="5" spans="1:17" ht="18" x14ac:dyDescent="0.3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42"/>
    </row>
    <row r="6" spans="1:17" ht="19" thickBot="1" x14ac:dyDescent="0.4">
      <c r="A6" s="1" t="s">
        <v>1</v>
      </c>
      <c r="B6" s="432" t="s">
        <v>177</v>
      </c>
      <c r="C6" s="111" t="s">
        <v>176</v>
      </c>
      <c r="D6" s="443"/>
      <c r="E6" s="444"/>
      <c r="F6" s="444"/>
      <c r="G6" s="480"/>
      <c r="H6" s="444"/>
      <c r="I6" s="444"/>
      <c r="J6" s="444"/>
      <c r="K6" s="444"/>
      <c r="L6" s="444"/>
      <c r="M6" s="444"/>
      <c r="N6" s="444"/>
      <c r="O6" s="443"/>
      <c r="P6" s="442"/>
    </row>
    <row r="7" spans="1:17" s="446" customFormat="1" ht="19" thickBot="1" x14ac:dyDescent="0.4">
      <c r="A7" s="476" t="s">
        <v>184</v>
      </c>
      <c r="B7" s="477">
        <v>0.02</v>
      </c>
      <c r="C7" s="478"/>
      <c r="D7" s="445">
        <v>0</v>
      </c>
      <c r="E7" s="445">
        <v>0.01</v>
      </c>
      <c r="F7" s="445">
        <v>0.02</v>
      </c>
      <c r="G7" s="445">
        <v>1.4999999999999999E-2</v>
      </c>
      <c r="H7" s="445">
        <v>2.5000000000000001E-2</v>
      </c>
      <c r="I7" s="445">
        <v>0.05</v>
      </c>
      <c r="J7" s="445">
        <v>7.0000000000000007E-2</v>
      </c>
      <c r="K7" s="445">
        <v>0.1</v>
      </c>
      <c r="L7" s="445">
        <v>0.12</v>
      </c>
      <c r="M7" s="445">
        <v>0.16</v>
      </c>
      <c r="N7" s="445">
        <v>0.18</v>
      </c>
      <c r="O7" s="445">
        <v>0</v>
      </c>
      <c r="P7" s="479">
        <f>SUM(D7:O7)</f>
        <v>0.75</v>
      </c>
    </row>
    <row r="8" spans="1:17" ht="18.5" x14ac:dyDescent="0.35">
      <c r="A8" s="467" t="s">
        <v>180</v>
      </c>
      <c r="B8" s="468">
        <f>B7*0.25</f>
        <v>5.0000000000000001E-3</v>
      </c>
      <c r="C8" s="469">
        <v>300</v>
      </c>
      <c r="D8" s="463">
        <f t="shared" ref="D8:O10" si="0">$B8*D$7*$C$17</f>
        <v>0</v>
      </c>
      <c r="E8" s="464">
        <v>0</v>
      </c>
      <c r="F8" s="464">
        <v>0</v>
      </c>
      <c r="G8" s="464">
        <f t="shared" si="0"/>
        <v>645</v>
      </c>
      <c r="H8" s="465">
        <f t="shared" si="0"/>
        <v>1075</v>
      </c>
      <c r="I8" s="465">
        <f t="shared" si="0"/>
        <v>2150</v>
      </c>
      <c r="J8" s="465">
        <f t="shared" si="0"/>
        <v>3010.0000000000005</v>
      </c>
      <c r="K8" s="466">
        <f t="shared" si="0"/>
        <v>4300</v>
      </c>
      <c r="L8" s="466">
        <f t="shared" si="0"/>
        <v>5160</v>
      </c>
      <c r="M8" s="466">
        <f t="shared" si="0"/>
        <v>6880</v>
      </c>
      <c r="N8" s="466">
        <f t="shared" si="0"/>
        <v>7740</v>
      </c>
      <c r="O8" s="463">
        <f t="shared" si="0"/>
        <v>0</v>
      </c>
      <c r="P8" s="447"/>
      <c r="Q8" s="448"/>
    </row>
    <row r="9" spans="1:17" ht="18.5" x14ac:dyDescent="0.35">
      <c r="A9" s="470" t="s">
        <v>181</v>
      </c>
      <c r="B9" s="471">
        <f>B7*0.5</f>
        <v>0.01</v>
      </c>
      <c r="C9" s="472">
        <v>300</v>
      </c>
      <c r="D9" s="463">
        <f t="shared" si="0"/>
        <v>0</v>
      </c>
      <c r="E9" s="464">
        <v>0</v>
      </c>
      <c r="F9" s="464">
        <v>0</v>
      </c>
      <c r="G9" s="464">
        <f t="shared" si="0"/>
        <v>1290</v>
      </c>
      <c r="H9" s="465">
        <f t="shared" si="0"/>
        <v>2150</v>
      </c>
      <c r="I9" s="465">
        <f t="shared" si="0"/>
        <v>4300</v>
      </c>
      <c r="J9" s="465">
        <f t="shared" si="0"/>
        <v>6020.0000000000009</v>
      </c>
      <c r="K9" s="466">
        <f t="shared" si="0"/>
        <v>8600</v>
      </c>
      <c r="L9" s="466">
        <f t="shared" si="0"/>
        <v>10320</v>
      </c>
      <c r="M9" s="466">
        <f t="shared" si="0"/>
        <v>13760</v>
      </c>
      <c r="N9" s="466">
        <f t="shared" si="0"/>
        <v>15480</v>
      </c>
      <c r="O9" s="463">
        <f t="shared" si="0"/>
        <v>0</v>
      </c>
      <c r="P9" s="447"/>
      <c r="Q9" s="448"/>
    </row>
    <row r="10" spans="1:17" ht="19" thickBot="1" x14ac:dyDescent="0.4">
      <c r="A10" s="473" t="s">
        <v>182</v>
      </c>
      <c r="B10" s="474">
        <f>B7*0.25</f>
        <v>5.0000000000000001E-3</v>
      </c>
      <c r="C10" s="475">
        <v>300</v>
      </c>
      <c r="D10" s="463">
        <f t="shared" si="0"/>
        <v>0</v>
      </c>
      <c r="E10" s="464">
        <v>0</v>
      </c>
      <c r="F10" s="464">
        <v>0</v>
      </c>
      <c r="G10" s="464">
        <f t="shared" si="0"/>
        <v>645</v>
      </c>
      <c r="H10" s="465">
        <f t="shared" si="0"/>
        <v>1075</v>
      </c>
      <c r="I10" s="465">
        <f t="shared" si="0"/>
        <v>2150</v>
      </c>
      <c r="J10" s="465">
        <f t="shared" si="0"/>
        <v>3010.0000000000005</v>
      </c>
      <c r="K10" s="466">
        <f t="shared" si="0"/>
        <v>4300</v>
      </c>
      <c r="L10" s="466">
        <f t="shared" si="0"/>
        <v>5160</v>
      </c>
      <c r="M10" s="466">
        <f t="shared" si="0"/>
        <v>6880</v>
      </c>
      <c r="N10" s="466">
        <f t="shared" si="0"/>
        <v>7740</v>
      </c>
      <c r="O10" s="463">
        <f t="shared" si="0"/>
        <v>0</v>
      </c>
      <c r="P10" s="447"/>
      <c r="Q10" s="448"/>
    </row>
    <row r="11" spans="1:17" ht="24" thickBot="1" x14ac:dyDescent="0.4">
      <c r="A11" s="4" t="s">
        <v>148</v>
      </c>
      <c r="B11" s="4"/>
      <c r="C11" s="4"/>
      <c r="D11" s="107">
        <f>SUM(D8:D10)</f>
        <v>0</v>
      </c>
      <c r="E11" s="107">
        <f>SUM(E8:E10)</f>
        <v>0</v>
      </c>
      <c r="F11" s="107">
        <f t="shared" ref="F11:G11" si="1">SUM(F8:F10)</f>
        <v>0</v>
      </c>
      <c r="G11" s="107">
        <f t="shared" si="1"/>
        <v>2580</v>
      </c>
      <c r="H11" s="107">
        <f t="shared" ref="H11:O11" si="2">SUM(H8:H10)</f>
        <v>4300</v>
      </c>
      <c r="I11" s="107">
        <f t="shared" si="2"/>
        <v>8600</v>
      </c>
      <c r="J11" s="107">
        <f>SUM(J8:J10)</f>
        <v>12040.000000000002</v>
      </c>
      <c r="K11" s="107">
        <f t="shared" si="2"/>
        <v>17200</v>
      </c>
      <c r="L11" s="107">
        <f t="shared" si="2"/>
        <v>20640</v>
      </c>
      <c r="M11" s="107">
        <f t="shared" si="2"/>
        <v>27520</v>
      </c>
      <c r="N11" s="107">
        <f t="shared" si="2"/>
        <v>30960</v>
      </c>
      <c r="O11" s="107">
        <f t="shared" si="2"/>
        <v>0</v>
      </c>
      <c r="P11" s="449">
        <f>SUM(D11:O11)</f>
        <v>123840</v>
      </c>
      <c r="Q11" s="450"/>
    </row>
    <row r="12" spans="1:17" ht="18" x14ac:dyDescent="0.35">
      <c r="A12" s="1" t="s">
        <v>4</v>
      </c>
      <c r="B12" s="5"/>
      <c r="C12" s="5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263"/>
      <c r="P12" s="442"/>
    </row>
    <row r="13" spans="1:17" ht="17.5" x14ac:dyDescent="0.35">
      <c r="A13" s="461" t="s">
        <v>8</v>
      </c>
      <c r="B13" s="461"/>
      <c r="C13" s="461"/>
      <c r="D13" s="462">
        <f t="shared" ref="D13" si="3">D8*$C8</f>
        <v>0</v>
      </c>
      <c r="E13" s="462">
        <f>E8*$C8</f>
        <v>0</v>
      </c>
      <c r="F13" s="462">
        <f t="shared" ref="F13:O13" si="4">F8*$C8</f>
        <v>0</v>
      </c>
      <c r="G13" s="462">
        <f t="shared" si="4"/>
        <v>193500</v>
      </c>
      <c r="H13" s="462">
        <f t="shared" si="4"/>
        <v>322500</v>
      </c>
      <c r="I13" s="462">
        <f t="shared" si="4"/>
        <v>645000</v>
      </c>
      <c r="J13" s="462">
        <f t="shared" si="4"/>
        <v>903000.00000000012</v>
      </c>
      <c r="K13" s="462">
        <f t="shared" si="4"/>
        <v>1290000</v>
      </c>
      <c r="L13" s="462">
        <f t="shared" si="4"/>
        <v>1548000</v>
      </c>
      <c r="M13" s="462">
        <f t="shared" si="4"/>
        <v>2064000</v>
      </c>
      <c r="N13" s="462">
        <f t="shared" si="4"/>
        <v>2322000</v>
      </c>
      <c r="O13" s="462">
        <f t="shared" si="4"/>
        <v>0</v>
      </c>
      <c r="P13" s="447"/>
    </row>
    <row r="14" spans="1:17" ht="17.5" x14ac:dyDescent="0.35">
      <c r="A14" s="461" t="s">
        <v>9</v>
      </c>
      <c r="B14" s="461"/>
      <c r="C14" s="461"/>
      <c r="D14" s="462">
        <f t="shared" ref="D14:O15" si="5">D9*$C9</f>
        <v>0</v>
      </c>
      <c r="E14" s="462">
        <f t="shared" si="5"/>
        <v>0</v>
      </c>
      <c r="F14" s="462">
        <f t="shared" si="5"/>
        <v>0</v>
      </c>
      <c r="G14" s="462">
        <f t="shared" si="5"/>
        <v>387000</v>
      </c>
      <c r="H14" s="462">
        <f t="shared" si="5"/>
        <v>645000</v>
      </c>
      <c r="I14" s="462">
        <f t="shared" si="5"/>
        <v>1290000</v>
      </c>
      <c r="J14" s="462">
        <f t="shared" si="5"/>
        <v>1806000.0000000002</v>
      </c>
      <c r="K14" s="462">
        <f t="shared" si="5"/>
        <v>2580000</v>
      </c>
      <c r="L14" s="462">
        <f t="shared" si="5"/>
        <v>3096000</v>
      </c>
      <c r="M14" s="462">
        <f t="shared" si="5"/>
        <v>4128000</v>
      </c>
      <c r="N14" s="462">
        <f t="shared" si="5"/>
        <v>4644000</v>
      </c>
      <c r="O14" s="462">
        <f t="shared" si="5"/>
        <v>0</v>
      </c>
      <c r="P14" s="442"/>
    </row>
    <row r="15" spans="1:17" ht="18" thickBot="1" x14ac:dyDescent="0.4">
      <c r="A15" s="461" t="s">
        <v>10</v>
      </c>
      <c r="B15" s="461"/>
      <c r="C15" s="461"/>
      <c r="D15" s="462">
        <f t="shared" si="5"/>
        <v>0</v>
      </c>
      <c r="E15" s="462">
        <f t="shared" si="5"/>
        <v>0</v>
      </c>
      <c r="F15" s="462">
        <f t="shared" si="5"/>
        <v>0</v>
      </c>
      <c r="G15" s="462">
        <f t="shared" si="5"/>
        <v>193500</v>
      </c>
      <c r="H15" s="462">
        <f t="shared" si="5"/>
        <v>322500</v>
      </c>
      <c r="I15" s="462">
        <f t="shared" si="5"/>
        <v>645000</v>
      </c>
      <c r="J15" s="462">
        <f t="shared" si="5"/>
        <v>903000.00000000012</v>
      </c>
      <c r="K15" s="462">
        <f t="shared" si="5"/>
        <v>1290000</v>
      </c>
      <c r="L15" s="462">
        <f t="shared" si="5"/>
        <v>1548000</v>
      </c>
      <c r="M15" s="462">
        <f t="shared" si="5"/>
        <v>2064000</v>
      </c>
      <c r="N15" s="462">
        <f t="shared" si="5"/>
        <v>2322000</v>
      </c>
      <c r="O15" s="462">
        <f t="shared" si="5"/>
        <v>0</v>
      </c>
      <c r="P15" s="442"/>
    </row>
    <row r="16" spans="1:17" ht="24" thickBot="1" x14ac:dyDescent="0.4">
      <c r="A16" s="117" t="s">
        <v>179</v>
      </c>
      <c r="B16" s="117"/>
      <c r="C16" s="117"/>
      <c r="D16" s="451">
        <f>SUM(D13:D15)</f>
        <v>0</v>
      </c>
      <c r="E16" s="451">
        <f>SUM(E13:E15)</f>
        <v>0</v>
      </c>
      <c r="F16" s="451">
        <f t="shared" ref="F16:O16" si="6">SUM(F13:F15)</f>
        <v>0</v>
      </c>
      <c r="G16" s="451">
        <f t="shared" si="6"/>
        <v>774000</v>
      </c>
      <c r="H16" s="451">
        <f t="shared" si="6"/>
        <v>1290000</v>
      </c>
      <c r="I16" s="451">
        <f>SUM(I13:I15)</f>
        <v>2580000</v>
      </c>
      <c r="J16" s="451">
        <f t="shared" si="6"/>
        <v>3612000.0000000005</v>
      </c>
      <c r="K16" s="451">
        <f t="shared" si="6"/>
        <v>5160000</v>
      </c>
      <c r="L16" s="451">
        <f t="shared" si="6"/>
        <v>6192000</v>
      </c>
      <c r="M16" s="451">
        <f t="shared" si="6"/>
        <v>8256000</v>
      </c>
      <c r="N16" s="451">
        <f t="shared" si="6"/>
        <v>9288000</v>
      </c>
      <c r="O16" s="451">
        <f t="shared" si="6"/>
        <v>0</v>
      </c>
      <c r="P16" s="449">
        <f>SUM(D16:O16)</f>
        <v>37152000</v>
      </c>
    </row>
    <row r="17" spans="1:17" ht="18.5" thickBot="1" x14ac:dyDescent="0.4">
      <c r="A17" s="16" t="s">
        <v>178</v>
      </c>
      <c r="B17" s="408"/>
      <c r="C17" s="408">
        <v>8600000</v>
      </c>
      <c r="D17" s="438">
        <f t="shared" ref="D17" si="7">D11/$C$17</f>
        <v>0</v>
      </c>
      <c r="E17" s="439">
        <f>E11/$C$17</f>
        <v>0</v>
      </c>
      <c r="F17" s="439">
        <f t="shared" ref="F17:O17" si="8">F11/$C$17</f>
        <v>0</v>
      </c>
      <c r="G17" s="439">
        <f t="shared" si="8"/>
        <v>2.9999999999999997E-4</v>
      </c>
      <c r="H17" s="439">
        <f t="shared" si="8"/>
        <v>5.0000000000000001E-4</v>
      </c>
      <c r="I17" s="439">
        <f t="shared" si="8"/>
        <v>1E-3</v>
      </c>
      <c r="J17" s="439">
        <f t="shared" si="8"/>
        <v>1.4000000000000002E-3</v>
      </c>
      <c r="K17" s="439">
        <f t="shared" si="8"/>
        <v>2E-3</v>
      </c>
      <c r="L17" s="439">
        <f t="shared" si="8"/>
        <v>2.3999999999999998E-3</v>
      </c>
      <c r="M17" s="439">
        <f t="shared" si="8"/>
        <v>3.2000000000000002E-3</v>
      </c>
      <c r="N17" s="439">
        <f t="shared" si="8"/>
        <v>3.5999999999999999E-3</v>
      </c>
      <c r="O17" s="438">
        <f t="shared" si="8"/>
        <v>0</v>
      </c>
      <c r="P17" s="452">
        <f>P11/C17</f>
        <v>1.44E-2</v>
      </c>
    </row>
    <row r="18" spans="1:17" ht="24" thickBot="1" x14ac:dyDescent="0.4">
      <c r="A18" s="45" t="s">
        <v>13</v>
      </c>
      <c r="B18" s="45"/>
      <c r="C18" s="45"/>
      <c r="D18" s="453">
        <f>SUM(D16:D17)</f>
        <v>0</v>
      </c>
      <c r="E18" s="453">
        <f t="shared" ref="E18:N18" si="9">E16</f>
        <v>0</v>
      </c>
      <c r="F18" s="453">
        <f t="shared" si="9"/>
        <v>0</v>
      </c>
      <c r="G18" s="453">
        <f t="shared" si="9"/>
        <v>774000</v>
      </c>
      <c r="H18" s="453">
        <f t="shared" si="9"/>
        <v>1290000</v>
      </c>
      <c r="I18" s="453">
        <f t="shared" si="9"/>
        <v>2580000</v>
      </c>
      <c r="J18" s="453">
        <f t="shared" si="9"/>
        <v>3612000.0000000005</v>
      </c>
      <c r="K18" s="453">
        <f t="shared" si="9"/>
        <v>5160000</v>
      </c>
      <c r="L18" s="453">
        <f t="shared" si="9"/>
        <v>6192000</v>
      </c>
      <c r="M18" s="453">
        <f t="shared" si="9"/>
        <v>8256000</v>
      </c>
      <c r="N18" s="453">
        <f t="shared" si="9"/>
        <v>9288000</v>
      </c>
      <c r="O18" s="453">
        <f>SUM(O16:O17)</f>
        <v>0</v>
      </c>
      <c r="P18" s="449">
        <f>SUM(D18:O18)</f>
        <v>37152000</v>
      </c>
    </row>
    <row r="19" spans="1:17" x14ac:dyDescent="0.35"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442"/>
    </row>
    <row r="20" spans="1:17" ht="18.5" thickBot="1" x14ac:dyDescent="0.4">
      <c r="A20" s="7" t="s">
        <v>21</v>
      </c>
      <c r="B20" s="7"/>
      <c r="C20" s="7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442"/>
    </row>
    <row r="21" spans="1:17" ht="24" thickBot="1" x14ac:dyDescent="0.4">
      <c r="A21" s="16" t="s">
        <v>152</v>
      </c>
      <c r="B21" s="129"/>
      <c r="C21" s="129"/>
      <c r="D21" s="443">
        <v>211908.52000000002</v>
      </c>
      <c r="E21" s="443">
        <v>246329.33300000001</v>
      </c>
      <c r="F21" s="443">
        <v>234610.86199999999</v>
      </c>
      <c r="G21" s="443">
        <v>200000</v>
      </c>
      <c r="H21" s="443">
        <f>G21</f>
        <v>200000</v>
      </c>
      <c r="I21" s="443">
        <f t="shared" ref="F21:O21" si="10">H21</f>
        <v>200000</v>
      </c>
      <c r="J21" s="443">
        <f t="shared" si="10"/>
        <v>200000</v>
      </c>
      <c r="K21" s="443">
        <f t="shared" si="10"/>
        <v>200000</v>
      </c>
      <c r="L21" s="443">
        <f t="shared" si="10"/>
        <v>200000</v>
      </c>
      <c r="M21" s="443">
        <f t="shared" si="10"/>
        <v>200000</v>
      </c>
      <c r="N21" s="443">
        <f t="shared" si="10"/>
        <v>200000</v>
      </c>
      <c r="O21" s="443">
        <f t="shared" si="10"/>
        <v>200000</v>
      </c>
      <c r="P21" s="449">
        <f t="shared" ref="P21:P45" si="11">SUM(D21:O21)</f>
        <v>2492848.7149999999</v>
      </c>
    </row>
    <row r="22" spans="1:17" ht="24" thickBot="1" x14ac:dyDescent="0.4">
      <c r="A22" s="16" t="s">
        <v>23</v>
      </c>
      <c r="B22" s="16"/>
      <c r="C22" s="16"/>
      <c r="D22" s="443">
        <v>0</v>
      </c>
      <c r="E22" s="443">
        <v>0</v>
      </c>
      <c r="F22" s="443">
        <v>0</v>
      </c>
      <c r="G22" s="443">
        <v>15000</v>
      </c>
      <c r="H22" s="443">
        <f t="shared" ref="E22:O22" si="12">G22</f>
        <v>15000</v>
      </c>
      <c r="I22" s="443">
        <f t="shared" si="12"/>
        <v>15000</v>
      </c>
      <c r="J22" s="443">
        <f t="shared" si="12"/>
        <v>15000</v>
      </c>
      <c r="K22" s="443">
        <f t="shared" si="12"/>
        <v>15000</v>
      </c>
      <c r="L22" s="443">
        <f t="shared" si="12"/>
        <v>15000</v>
      </c>
      <c r="M22" s="443">
        <f t="shared" si="12"/>
        <v>15000</v>
      </c>
      <c r="N22" s="443">
        <f t="shared" si="12"/>
        <v>15000</v>
      </c>
      <c r="O22" s="443">
        <f t="shared" si="12"/>
        <v>15000</v>
      </c>
      <c r="P22" s="449">
        <f t="shared" si="11"/>
        <v>135000</v>
      </c>
    </row>
    <row r="23" spans="1:17" ht="24" thickBot="1" x14ac:dyDescent="0.4">
      <c r="A23" s="16" t="s">
        <v>157</v>
      </c>
      <c r="B23" s="16"/>
      <c r="C23" s="16"/>
      <c r="D23" s="443">
        <v>0</v>
      </c>
      <c r="E23" s="443">
        <v>0</v>
      </c>
      <c r="F23" s="443">
        <v>0</v>
      </c>
      <c r="G23" s="443">
        <v>440000</v>
      </c>
      <c r="H23" s="443">
        <f>200000+75500</f>
        <v>275500</v>
      </c>
      <c r="I23" s="443">
        <v>300000</v>
      </c>
      <c r="J23" s="443">
        <v>300000</v>
      </c>
      <c r="K23" s="443">
        <v>300000</v>
      </c>
      <c r="L23" s="443">
        <v>300000</v>
      </c>
      <c r="M23" s="443">
        <v>300000</v>
      </c>
      <c r="N23" s="443">
        <v>300000</v>
      </c>
      <c r="O23" s="443">
        <v>0</v>
      </c>
      <c r="P23" s="449">
        <f t="shared" si="11"/>
        <v>2515500</v>
      </c>
    </row>
    <row r="24" spans="1:17" ht="24" thickBot="1" x14ac:dyDescent="0.4">
      <c r="A24" s="16" t="s">
        <v>185</v>
      </c>
      <c r="B24" s="16" t="s">
        <v>216</v>
      </c>
      <c r="D24" s="443">
        <v>0</v>
      </c>
      <c r="E24" s="443">
        <v>0</v>
      </c>
      <c r="F24" s="443">
        <v>0</v>
      </c>
      <c r="G24" s="443">
        <f>_xlfn.XLOOKUP($B$24,'250 calc'!$A$83:$A$85,'250 calc'!$C$83:$C$85,0)*G11</f>
        <v>105094.68749999999</v>
      </c>
      <c r="H24" s="443">
        <f>_xlfn.XLOOKUP($B$24,'250 calc'!$A$83:$A$85,'250 calc'!$C$83:$C$85,0)*H11</f>
        <v>175157.81249999997</v>
      </c>
      <c r="I24" s="443">
        <f>_xlfn.XLOOKUP($B$24,'250 calc'!$A$83:$A$85,'250 calc'!$C$83:$C$85,0)*I11</f>
        <v>350315.62499999994</v>
      </c>
      <c r="J24" s="443">
        <f>_xlfn.XLOOKUP($B$24,'250 calc'!$A$83:$A$85,'250 calc'!$C$83:$C$85,0)*J11</f>
        <v>490441.875</v>
      </c>
      <c r="K24" s="443">
        <f>_xlfn.XLOOKUP($B$24,'250 calc'!$A$83:$A$85,'250 calc'!$C$83:$C$85,0)*K11</f>
        <v>700631.24999999988</v>
      </c>
      <c r="L24" s="443">
        <f>_xlfn.XLOOKUP($B$24,'250 calc'!$A$83:$A$85,'250 calc'!$C$83:$C$85,0)*L11</f>
        <v>840757.49999999988</v>
      </c>
      <c r="M24" s="443">
        <f>_xlfn.XLOOKUP($B$24,'250 calc'!$A$83:$A$85,'250 calc'!$C$83:$C$85,0)*M11</f>
        <v>1121009.9999999998</v>
      </c>
      <c r="N24" s="443">
        <f>_xlfn.XLOOKUP($B$24,'250 calc'!$A$83:$A$85,'250 calc'!$C$83:$C$85,0)*N11</f>
        <v>1261136.2499999998</v>
      </c>
      <c r="O24" s="443">
        <f>_xlfn.XLOOKUP($B$24,'250 calc'!$A$83:$A$85,'250 calc'!$C$83:$C$85,0)*O11</f>
        <v>0</v>
      </c>
      <c r="P24" s="449">
        <f t="shared" si="11"/>
        <v>5044545</v>
      </c>
      <c r="Q24" s="446">
        <f>P24/P18</f>
        <v>0.13578124999999999</v>
      </c>
    </row>
    <row r="25" spans="1:17" ht="24" thickBot="1" x14ac:dyDescent="0.4">
      <c r="A25" s="16" t="s">
        <v>224</v>
      </c>
      <c r="B25" s="16" t="s">
        <v>220</v>
      </c>
      <c r="D25" s="443">
        <v>0</v>
      </c>
      <c r="E25" s="443">
        <v>0</v>
      </c>
      <c r="F25" s="443">
        <v>0</v>
      </c>
      <c r="G25" s="443">
        <f>_xlfn.XLOOKUP($B$25,'1000 calc'!$A$75:$A$77,'1000 calc'!$C$75:$C$77,0)*G11</f>
        <v>8707.5</v>
      </c>
      <c r="H25" s="443">
        <f>_xlfn.XLOOKUP($B$25,'1000 calc'!$A$75:$A$77,'1000 calc'!$C$75:$C$77,0)*H11</f>
        <v>14512.5</v>
      </c>
      <c r="I25" s="443">
        <f>_xlfn.XLOOKUP($B$25,'1000 calc'!$A$75:$A$77,'1000 calc'!$C$75:$C$77,0)*I11</f>
        <v>29025</v>
      </c>
      <c r="J25" s="443">
        <f>_xlfn.XLOOKUP($B$25,'1000 calc'!$A$75:$A$77,'1000 calc'!$C$75:$C$77,0)*J11</f>
        <v>40635.000000000007</v>
      </c>
      <c r="K25" s="443">
        <f>_xlfn.XLOOKUP($B$25,'1000 calc'!$A$75:$A$77,'1000 calc'!$C$75:$C$77,0)*K11</f>
        <v>58050</v>
      </c>
      <c r="L25" s="443">
        <f>_xlfn.XLOOKUP($B$25,'1000 calc'!$A$75:$A$77,'1000 calc'!$C$75:$C$77,0)*L11</f>
        <v>69660</v>
      </c>
      <c r="M25" s="443">
        <f>_xlfn.XLOOKUP($B$25,'1000 calc'!$A$75:$A$77,'1000 calc'!$C$75:$C$77,0)*M11</f>
        <v>92880</v>
      </c>
      <c r="N25" s="443">
        <f>_xlfn.XLOOKUP($B$25,'1000 calc'!$A$75:$A$77,'1000 calc'!$C$75:$C$77,0)*N11</f>
        <v>104490</v>
      </c>
      <c r="O25" s="443">
        <f>_xlfn.XLOOKUP($B$25,'1000 calc'!$A$75:$A$77,'1000 calc'!$C$75:$C$77,0)*O11</f>
        <v>0</v>
      </c>
      <c r="P25" s="449">
        <f t="shared" si="11"/>
        <v>417960</v>
      </c>
      <c r="Q25" s="446">
        <f>P25/P18</f>
        <v>1.125E-2</v>
      </c>
    </row>
    <row r="26" spans="1:17" ht="24" thickBot="1" x14ac:dyDescent="0.4">
      <c r="A26" s="16" t="s">
        <v>228</v>
      </c>
      <c r="B26" s="16"/>
      <c r="D26" s="443">
        <v>0</v>
      </c>
      <c r="E26" s="443">
        <v>0</v>
      </c>
      <c r="F26" s="443">
        <v>0</v>
      </c>
      <c r="G26" s="443">
        <v>0</v>
      </c>
      <c r="H26" s="443">
        <v>0</v>
      </c>
      <c r="I26" s="443">
        <v>0</v>
      </c>
      <c r="J26" s="443">
        <v>0</v>
      </c>
      <c r="K26" s="443">
        <v>0</v>
      </c>
      <c r="L26" s="443">
        <v>0</v>
      </c>
      <c r="M26" s="443">
        <v>0</v>
      </c>
      <c r="N26" s="443">
        <v>0</v>
      </c>
      <c r="O26" s="443">
        <v>0</v>
      </c>
      <c r="P26" s="449">
        <f t="shared" si="11"/>
        <v>0</v>
      </c>
      <c r="Q26" s="446"/>
    </row>
    <row r="27" spans="1:17" ht="24" thickBot="1" x14ac:dyDescent="0.4">
      <c r="A27" s="24" t="s">
        <v>25</v>
      </c>
      <c r="B27" s="16"/>
      <c r="C27" s="16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449"/>
    </row>
    <row r="28" spans="1:17" ht="24" thickBot="1" x14ac:dyDescent="0.4">
      <c r="A28" s="16" t="s">
        <v>27</v>
      </c>
      <c r="B28" s="16"/>
      <c r="C28" s="16"/>
      <c r="D28" s="443">
        <v>0</v>
      </c>
      <c r="E28" s="443">
        <v>0</v>
      </c>
      <c r="F28" s="443">
        <v>0</v>
      </c>
      <c r="G28" s="443">
        <v>10000</v>
      </c>
      <c r="H28" s="443">
        <f t="shared" ref="E28:O29" si="13">G28</f>
        <v>10000</v>
      </c>
      <c r="I28" s="443">
        <f t="shared" si="13"/>
        <v>10000</v>
      </c>
      <c r="J28" s="443">
        <f t="shared" si="13"/>
        <v>10000</v>
      </c>
      <c r="K28" s="443">
        <f t="shared" si="13"/>
        <v>10000</v>
      </c>
      <c r="L28" s="443">
        <f t="shared" si="13"/>
        <v>10000</v>
      </c>
      <c r="M28" s="443">
        <f t="shared" si="13"/>
        <v>10000</v>
      </c>
      <c r="N28" s="443">
        <f t="shared" si="13"/>
        <v>10000</v>
      </c>
      <c r="O28" s="443">
        <f t="shared" si="13"/>
        <v>10000</v>
      </c>
      <c r="P28" s="449">
        <f t="shared" si="11"/>
        <v>90000</v>
      </c>
    </row>
    <row r="29" spans="1:17" ht="24" thickBot="1" x14ac:dyDescent="0.4">
      <c r="A29" s="16" t="s">
        <v>28</v>
      </c>
      <c r="B29" s="16"/>
      <c r="C29" s="16"/>
      <c r="D29" s="443">
        <v>0</v>
      </c>
      <c r="E29" s="443">
        <v>0</v>
      </c>
      <c r="F29" s="443">
        <v>0</v>
      </c>
      <c r="G29" s="443">
        <v>2500</v>
      </c>
      <c r="H29" s="443">
        <f t="shared" ref="H29" si="14">G29</f>
        <v>2500</v>
      </c>
      <c r="I29" s="443">
        <f t="shared" ref="I29" si="15">H29</f>
        <v>2500</v>
      </c>
      <c r="J29" s="443">
        <f t="shared" ref="J29" si="16">I29</f>
        <v>2500</v>
      </c>
      <c r="K29" s="443">
        <f t="shared" ref="K29" si="17">J29</f>
        <v>2500</v>
      </c>
      <c r="L29" s="443">
        <f t="shared" ref="L29" si="18">K29</f>
        <v>2500</v>
      </c>
      <c r="M29" s="443">
        <f t="shared" ref="M29" si="19">L29</f>
        <v>2500</v>
      </c>
      <c r="N29" s="443">
        <f t="shared" ref="N29" si="20">M29</f>
        <v>2500</v>
      </c>
      <c r="O29" s="443">
        <f t="shared" ref="O29" si="21">N29</f>
        <v>2500</v>
      </c>
      <c r="P29" s="449">
        <f t="shared" si="11"/>
        <v>22500</v>
      </c>
    </row>
    <row r="30" spans="1:17" ht="24" thickBot="1" x14ac:dyDescent="0.4">
      <c r="A30" s="16" t="s">
        <v>29</v>
      </c>
      <c r="B30" s="16"/>
      <c r="C30" s="16"/>
      <c r="D30" s="443">
        <v>0</v>
      </c>
      <c r="E30" s="443">
        <v>0</v>
      </c>
      <c r="F30" s="443">
        <v>0</v>
      </c>
      <c r="G30" s="443">
        <v>500</v>
      </c>
      <c r="H30" s="443">
        <f t="shared" ref="E30:O34" si="22">G30</f>
        <v>500</v>
      </c>
      <c r="I30" s="443">
        <f t="shared" si="22"/>
        <v>500</v>
      </c>
      <c r="J30" s="443">
        <f t="shared" si="22"/>
        <v>500</v>
      </c>
      <c r="K30" s="443">
        <f t="shared" si="22"/>
        <v>500</v>
      </c>
      <c r="L30" s="443">
        <f t="shared" si="22"/>
        <v>500</v>
      </c>
      <c r="M30" s="443">
        <f t="shared" si="22"/>
        <v>500</v>
      </c>
      <c r="N30" s="443">
        <f t="shared" si="22"/>
        <v>500</v>
      </c>
      <c r="O30" s="443">
        <f t="shared" si="22"/>
        <v>500</v>
      </c>
      <c r="P30" s="449">
        <f t="shared" si="11"/>
        <v>4500</v>
      </c>
    </row>
    <row r="31" spans="1:17" ht="24" thickBot="1" x14ac:dyDescent="0.4">
      <c r="A31" s="16" t="s">
        <v>30</v>
      </c>
      <c r="B31" s="16"/>
      <c r="C31" s="16"/>
      <c r="D31" s="443">
        <v>0</v>
      </c>
      <c r="E31" s="443">
        <v>0</v>
      </c>
      <c r="F31" s="443">
        <v>0</v>
      </c>
      <c r="G31" s="443">
        <v>1000</v>
      </c>
      <c r="H31" s="443">
        <v>1000</v>
      </c>
      <c r="I31" s="443">
        <v>1000</v>
      </c>
      <c r="J31" s="443">
        <v>1000</v>
      </c>
      <c r="K31" s="443">
        <v>1000</v>
      </c>
      <c r="L31" s="443">
        <v>1000</v>
      </c>
      <c r="M31" s="443">
        <v>1000</v>
      </c>
      <c r="N31" s="443">
        <v>1000</v>
      </c>
      <c r="O31" s="443">
        <v>1000</v>
      </c>
      <c r="P31" s="449">
        <f t="shared" si="11"/>
        <v>9000</v>
      </c>
    </row>
    <row r="32" spans="1:17" ht="24" thickBot="1" x14ac:dyDescent="0.4">
      <c r="A32" s="16" t="s">
        <v>183</v>
      </c>
      <c r="B32" s="16"/>
      <c r="C32" s="16"/>
      <c r="D32" s="443">
        <v>0</v>
      </c>
      <c r="E32" s="443">
        <v>0</v>
      </c>
      <c r="F32" s="443">
        <v>0</v>
      </c>
      <c r="G32" s="443">
        <v>8000</v>
      </c>
      <c r="H32" s="443">
        <v>8000</v>
      </c>
      <c r="I32" s="443">
        <v>8000</v>
      </c>
      <c r="J32" s="443">
        <v>8000</v>
      </c>
      <c r="K32" s="443">
        <v>8000</v>
      </c>
      <c r="L32" s="443">
        <v>8000</v>
      </c>
      <c r="M32" s="443">
        <v>8000</v>
      </c>
      <c r="N32" s="443">
        <v>8000</v>
      </c>
      <c r="O32" s="443">
        <v>8000</v>
      </c>
      <c r="P32" s="449">
        <f t="shared" si="11"/>
        <v>72000</v>
      </c>
    </row>
    <row r="33" spans="1:17" ht="24" thickBot="1" x14ac:dyDescent="0.4">
      <c r="A33" s="16" t="s">
        <v>32</v>
      </c>
      <c r="B33" s="16"/>
      <c r="C33" s="16"/>
      <c r="D33" s="443">
        <v>0</v>
      </c>
      <c r="E33" s="443">
        <v>0</v>
      </c>
      <c r="F33" s="443">
        <v>0</v>
      </c>
      <c r="G33" s="443">
        <f>15*30</f>
        <v>450</v>
      </c>
      <c r="H33" s="443">
        <f>15*30</f>
        <v>450</v>
      </c>
      <c r="I33" s="443">
        <f t="shared" ref="E33:I33" si="23">15*30</f>
        <v>450</v>
      </c>
      <c r="J33" s="443">
        <f>15*30</f>
        <v>450</v>
      </c>
      <c r="K33" s="443">
        <f>15*30</f>
        <v>450</v>
      </c>
      <c r="L33" s="443">
        <f t="shared" ref="L33" si="24">15*30</f>
        <v>450</v>
      </c>
      <c r="M33" s="443">
        <f>15*30</f>
        <v>450</v>
      </c>
      <c r="N33" s="443">
        <f t="shared" ref="N33:O33" si="25">15*30</f>
        <v>450</v>
      </c>
      <c r="O33" s="443">
        <f t="shared" si="25"/>
        <v>450</v>
      </c>
      <c r="P33" s="449">
        <f t="shared" si="11"/>
        <v>4050</v>
      </c>
    </row>
    <row r="34" spans="1:17" ht="24" thickBot="1" x14ac:dyDescent="0.4">
      <c r="A34" s="16" t="s">
        <v>33</v>
      </c>
      <c r="B34" s="16"/>
      <c r="C34" s="16"/>
      <c r="D34" s="443">
        <v>0</v>
      </c>
      <c r="E34" s="443">
        <v>0</v>
      </c>
      <c r="F34" s="443">
        <v>0</v>
      </c>
      <c r="G34" s="443">
        <v>1000</v>
      </c>
      <c r="H34" s="443">
        <f t="shared" si="22"/>
        <v>1000</v>
      </c>
      <c r="I34" s="443">
        <f t="shared" si="22"/>
        <v>1000</v>
      </c>
      <c r="J34" s="443">
        <f t="shared" si="22"/>
        <v>1000</v>
      </c>
      <c r="K34" s="443">
        <f t="shared" si="22"/>
        <v>1000</v>
      </c>
      <c r="L34" s="443">
        <f t="shared" si="22"/>
        <v>1000</v>
      </c>
      <c r="M34" s="443">
        <f t="shared" si="22"/>
        <v>1000</v>
      </c>
      <c r="N34" s="443">
        <f t="shared" si="22"/>
        <v>1000</v>
      </c>
      <c r="O34" s="443">
        <f t="shared" si="22"/>
        <v>1000</v>
      </c>
      <c r="P34" s="449">
        <f t="shared" si="11"/>
        <v>9000</v>
      </c>
    </row>
    <row r="35" spans="1:17" ht="24" thickBot="1" x14ac:dyDescent="0.4">
      <c r="A35" s="16" t="s">
        <v>34</v>
      </c>
      <c r="B35" s="16"/>
      <c r="C35" s="16"/>
      <c r="D35" s="443">
        <v>0</v>
      </c>
      <c r="E35" s="443">
        <v>0</v>
      </c>
      <c r="F35" s="443">
        <v>0</v>
      </c>
      <c r="G35" s="443">
        <v>3000</v>
      </c>
      <c r="H35" s="443">
        <v>3000</v>
      </c>
      <c r="I35" s="443">
        <v>3000</v>
      </c>
      <c r="J35" s="443">
        <v>3000</v>
      </c>
      <c r="K35" s="443">
        <v>3000</v>
      </c>
      <c r="L35" s="443">
        <v>3000</v>
      </c>
      <c r="M35" s="443">
        <v>3000</v>
      </c>
      <c r="N35" s="443">
        <v>3000</v>
      </c>
      <c r="O35" s="443">
        <v>3000</v>
      </c>
      <c r="P35" s="449">
        <f t="shared" si="11"/>
        <v>27000</v>
      </c>
    </row>
    <row r="36" spans="1:17" ht="24" thickBot="1" x14ac:dyDescent="0.4">
      <c r="A36" s="16" t="s">
        <v>35</v>
      </c>
      <c r="B36" s="16"/>
      <c r="C36" s="16"/>
      <c r="D36" s="443">
        <v>0</v>
      </c>
      <c r="E36" s="443">
        <v>0</v>
      </c>
      <c r="F36" s="443">
        <v>0</v>
      </c>
      <c r="G36" s="443">
        <f t="shared" ref="E36:O36" si="26">24000/12</f>
        <v>2000</v>
      </c>
      <c r="H36" s="443">
        <f t="shared" si="26"/>
        <v>2000</v>
      </c>
      <c r="I36" s="443">
        <f t="shared" si="26"/>
        <v>2000</v>
      </c>
      <c r="J36" s="443">
        <f t="shared" si="26"/>
        <v>2000</v>
      </c>
      <c r="K36" s="443">
        <f t="shared" si="26"/>
        <v>2000</v>
      </c>
      <c r="L36" s="443">
        <f t="shared" si="26"/>
        <v>2000</v>
      </c>
      <c r="M36" s="443">
        <f t="shared" si="26"/>
        <v>2000</v>
      </c>
      <c r="N36" s="443">
        <f t="shared" si="26"/>
        <v>2000</v>
      </c>
      <c r="O36" s="443">
        <f t="shared" si="26"/>
        <v>2000</v>
      </c>
      <c r="P36" s="449">
        <f t="shared" si="11"/>
        <v>18000</v>
      </c>
    </row>
    <row r="37" spans="1:17" ht="24" thickBot="1" x14ac:dyDescent="0.4">
      <c r="A37" s="16" t="s">
        <v>158</v>
      </c>
      <c r="B37" s="16"/>
      <c r="C37" s="16"/>
      <c r="D37" s="443">
        <v>0</v>
      </c>
      <c r="E37" s="443">
        <v>0</v>
      </c>
      <c r="F37" s="443">
        <v>0</v>
      </c>
      <c r="G37" s="443">
        <v>8333.3333333333321</v>
      </c>
      <c r="H37" s="443">
        <f t="shared" ref="E37:O37" si="27">50000*(2/12)</f>
        <v>8333.3333333333321</v>
      </c>
      <c r="I37" s="443">
        <f t="shared" si="27"/>
        <v>8333.3333333333321</v>
      </c>
      <c r="J37" s="443">
        <f t="shared" si="27"/>
        <v>8333.3333333333321</v>
      </c>
      <c r="K37" s="443">
        <f t="shared" si="27"/>
        <v>8333.3333333333321</v>
      </c>
      <c r="L37" s="443">
        <f t="shared" si="27"/>
        <v>8333.3333333333321</v>
      </c>
      <c r="M37" s="443">
        <f t="shared" si="27"/>
        <v>8333.3333333333321</v>
      </c>
      <c r="N37" s="443">
        <f t="shared" si="27"/>
        <v>8333.3333333333321</v>
      </c>
      <c r="O37" s="443">
        <f t="shared" si="27"/>
        <v>8333.3333333333321</v>
      </c>
      <c r="P37" s="449">
        <f t="shared" si="11"/>
        <v>74999.999999999971</v>
      </c>
    </row>
    <row r="38" spans="1:17" ht="24" thickBot="1" x14ac:dyDescent="0.4">
      <c r="A38" s="16" t="s">
        <v>38</v>
      </c>
      <c r="B38" s="16"/>
      <c r="C38" s="16"/>
      <c r="D38" s="443">
        <v>0</v>
      </c>
      <c r="E38" s="443">
        <v>0</v>
      </c>
      <c r="F38" s="443">
        <v>0</v>
      </c>
      <c r="G38" s="443">
        <v>1200</v>
      </c>
      <c r="H38" s="443">
        <v>1200</v>
      </c>
      <c r="I38" s="443">
        <v>1200</v>
      </c>
      <c r="J38" s="443">
        <v>1200</v>
      </c>
      <c r="K38" s="443">
        <v>1200</v>
      </c>
      <c r="L38" s="443">
        <v>1200</v>
      </c>
      <c r="M38" s="443">
        <v>1200</v>
      </c>
      <c r="N38" s="443">
        <v>1200</v>
      </c>
      <c r="O38" s="443">
        <v>1200</v>
      </c>
      <c r="P38" s="449">
        <f t="shared" si="11"/>
        <v>10800</v>
      </c>
    </row>
    <row r="39" spans="1:17" ht="24" thickBot="1" x14ac:dyDescent="0.4">
      <c r="A39" s="16" t="s">
        <v>39</v>
      </c>
      <c r="B39" s="16"/>
      <c r="C39" s="16"/>
      <c r="D39" s="228">
        <v>0</v>
      </c>
      <c r="E39" s="443">
        <v>0</v>
      </c>
      <c r="F39" s="443">
        <v>0</v>
      </c>
      <c r="G39" s="443">
        <v>0</v>
      </c>
      <c r="H39" s="443">
        <v>0</v>
      </c>
      <c r="I39" s="443">
        <v>0</v>
      </c>
      <c r="J39" s="443">
        <v>0</v>
      </c>
      <c r="K39" s="443">
        <v>0</v>
      </c>
      <c r="L39" s="443">
        <v>50000</v>
      </c>
      <c r="M39" s="443">
        <v>0</v>
      </c>
      <c r="N39" s="443">
        <v>0</v>
      </c>
      <c r="O39" s="443">
        <v>0</v>
      </c>
      <c r="P39" s="449">
        <f t="shared" si="11"/>
        <v>50000</v>
      </c>
    </row>
    <row r="40" spans="1:17" ht="24" thickBot="1" x14ac:dyDescent="0.4">
      <c r="A40" s="16" t="s">
        <v>40</v>
      </c>
      <c r="B40" s="16"/>
      <c r="C40" s="16"/>
      <c r="D40" s="443">
        <v>0</v>
      </c>
      <c r="E40" s="443">
        <v>0</v>
      </c>
      <c r="F40" s="443">
        <v>0</v>
      </c>
      <c r="G40" s="443">
        <v>10000</v>
      </c>
      <c r="H40" s="443">
        <v>10000</v>
      </c>
      <c r="I40" s="443">
        <v>10000</v>
      </c>
      <c r="J40" s="443">
        <v>10000</v>
      </c>
      <c r="K40" s="443">
        <v>10000</v>
      </c>
      <c r="L40" s="443">
        <v>10000</v>
      </c>
      <c r="M40" s="443">
        <v>10000</v>
      </c>
      <c r="N40" s="443">
        <v>10000</v>
      </c>
      <c r="O40" s="443">
        <v>10000</v>
      </c>
      <c r="P40" s="449">
        <f t="shared" si="11"/>
        <v>90000</v>
      </c>
    </row>
    <row r="41" spans="1:17" ht="24" thickBot="1" x14ac:dyDescent="0.4">
      <c r="A41" s="16" t="s">
        <v>42</v>
      </c>
      <c r="B41" s="16"/>
      <c r="C41" s="16"/>
      <c r="D41" s="443">
        <v>0</v>
      </c>
      <c r="E41" s="443">
        <v>0</v>
      </c>
      <c r="F41" s="443">
        <v>0</v>
      </c>
      <c r="G41" s="443">
        <f>(4*(50+50+10+10))/12*10</f>
        <v>400</v>
      </c>
      <c r="H41" s="443">
        <f>(4*(50+50+10+10))/12*10</f>
        <v>400</v>
      </c>
      <c r="I41" s="443">
        <f t="shared" ref="E41:M41" si="28">(4*(50+50+10+10))/12*10</f>
        <v>400</v>
      </c>
      <c r="J41" s="443">
        <f>(4*(50+50+10+10))/12*10</f>
        <v>400</v>
      </c>
      <c r="K41" s="443">
        <f t="shared" si="28"/>
        <v>400</v>
      </c>
      <c r="L41" s="443">
        <f>(4*(50+50+10+10))/12*10</f>
        <v>400</v>
      </c>
      <c r="M41" s="443">
        <f t="shared" si="28"/>
        <v>400</v>
      </c>
      <c r="N41" s="443">
        <f>(4*(50+50+10+10))/12*10</f>
        <v>400</v>
      </c>
      <c r="O41" s="443">
        <f>(4*(50+50+10+10))/12*10</f>
        <v>400</v>
      </c>
      <c r="P41" s="449">
        <f t="shared" si="11"/>
        <v>3600</v>
      </c>
    </row>
    <row r="42" spans="1:17" ht="24" thickBot="1" x14ac:dyDescent="0.4">
      <c r="A42" s="16" t="s">
        <v>43</v>
      </c>
      <c r="B42" s="16"/>
      <c r="C42" s="16"/>
      <c r="D42" s="443">
        <v>0</v>
      </c>
      <c r="E42" s="443">
        <v>0</v>
      </c>
      <c r="F42" s="443">
        <v>0</v>
      </c>
      <c r="G42" s="443">
        <v>2000</v>
      </c>
      <c r="H42" s="443">
        <v>2000</v>
      </c>
      <c r="I42" s="443">
        <v>2000</v>
      </c>
      <c r="J42" s="443">
        <v>2000</v>
      </c>
      <c r="K42" s="443">
        <v>2000</v>
      </c>
      <c r="L42" s="443">
        <v>2000</v>
      </c>
      <c r="M42" s="443">
        <v>2000</v>
      </c>
      <c r="N42" s="443">
        <v>2000</v>
      </c>
      <c r="O42" s="443">
        <v>2000</v>
      </c>
      <c r="P42" s="449">
        <f t="shared" si="11"/>
        <v>18000</v>
      </c>
    </row>
    <row r="43" spans="1:17" ht="24" thickBot="1" x14ac:dyDescent="0.4">
      <c r="A43" s="16" t="s">
        <v>45</v>
      </c>
      <c r="B43" s="16"/>
      <c r="C43" s="16"/>
      <c r="D43" s="443">
        <v>0</v>
      </c>
      <c r="E43" s="443">
        <v>0</v>
      </c>
      <c r="F43" s="443">
        <v>0</v>
      </c>
      <c r="G43" s="443">
        <v>2500</v>
      </c>
      <c r="H43" s="443">
        <v>2500</v>
      </c>
      <c r="I43" s="443">
        <v>2500</v>
      </c>
      <c r="J43" s="443">
        <v>2500</v>
      </c>
      <c r="K43" s="443">
        <v>2500</v>
      </c>
      <c r="L43" s="443">
        <v>2500</v>
      </c>
      <c r="M43" s="443">
        <v>2500</v>
      </c>
      <c r="N43" s="443">
        <v>2500</v>
      </c>
      <c r="O43" s="443">
        <v>2500</v>
      </c>
      <c r="P43" s="449">
        <f t="shared" si="11"/>
        <v>22500</v>
      </c>
    </row>
    <row r="44" spans="1:17" ht="24" thickBot="1" x14ac:dyDescent="0.4">
      <c r="A44" s="16" t="s">
        <v>46</v>
      </c>
      <c r="B44" s="16"/>
      <c r="C44" s="16"/>
      <c r="D44" s="443">
        <v>0</v>
      </c>
      <c r="E44" s="443">
        <v>0</v>
      </c>
      <c r="F44" s="443">
        <v>0</v>
      </c>
      <c r="G44" s="443">
        <v>2500</v>
      </c>
      <c r="H44" s="443">
        <v>2500</v>
      </c>
      <c r="I44" s="443">
        <v>2500</v>
      </c>
      <c r="J44" s="443">
        <v>2500</v>
      </c>
      <c r="K44" s="443">
        <v>2500</v>
      </c>
      <c r="L44" s="443">
        <v>2500</v>
      </c>
      <c r="M44" s="443">
        <v>2500</v>
      </c>
      <c r="N44" s="443">
        <v>2500</v>
      </c>
      <c r="O44" s="443">
        <v>2500</v>
      </c>
      <c r="P44" s="449">
        <f t="shared" si="11"/>
        <v>22500</v>
      </c>
    </row>
    <row r="45" spans="1:17" ht="24" thickBot="1" x14ac:dyDescent="0.4">
      <c r="A45" s="16" t="s">
        <v>48</v>
      </c>
      <c r="B45" s="16"/>
      <c r="C45" s="16"/>
      <c r="D45" s="443">
        <v>0</v>
      </c>
      <c r="E45" s="443">
        <v>0</v>
      </c>
      <c r="F45" s="443">
        <v>0</v>
      </c>
      <c r="G45" s="443">
        <v>2500</v>
      </c>
      <c r="H45" s="443">
        <v>2500</v>
      </c>
      <c r="I45" s="443">
        <v>2500</v>
      </c>
      <c r="J45" s="443">
        <v>2500</v>
      </c>
      <c r="K45" s="443">
        <v>2500</v>
      </c>
      <c r="L45" s="443">
        <v>2500</v>
      </c>
      <c r="M45" s="443">
        <v>2500</v>
      </c>
      <c r="N45" s="443">
        <v>2500</v>
      </c>
      <c r="O45" s="443">
        <v>2500</v>
      </c>
      <c r="P45" s="449">
        <f t="shared" si="11"/>
        <v>22500</v>
      </c>
    </row>
    <row r="46" spans="1:17" s="456" customFormat="1" ht="24" thickBot="1" x14ac:dyDescent="0.4">
      <c r="A46" s="433" t="s">
        <v>52</v>
      </c>
      <c r="B46" s="433"/>
      <c r="C46" s="433"/>
      <c r="D46" s="454">
        <f t="shared" ref="D46:O46" si="29">SUM(D19:D45)</f>
        <v>211908.52000000002</v>
      </c>
      <c r="E46" s="454">
        <f t="shared" si="29"/>
        <v>246329.33300000001</v>
      </c>
      <c r="F46" s="454">
        <f t="shared" si="29"/>
        <v>234610.86199999999</v>
      </c>
      <c r="G46" s="454">
        <f t="shared" si="29"/>
        <v>826685.52083333337</v>
      </c>
      <c r="H46" s="454">
        <f t="shared" si="29"/>
        <v>738053.64583333337</v>
      </c>
      <c r="I46" s="454">
        <f t="shared" si="29"/>
        <v>952223.95833333337</v>
      </c>
      <c r="J46" s="454">
        <f t="shared" si="29"/>
        <v>1103960.2083333333</v>
      </c>
      <c r="K46" s="454">
        <f t="shared" si="29"/>
        <v>1331564.5833333333</v>
      </c>
      <c r="L46" s="454">
        <f t="shared" si="29"/>
        <v>1533300.8333333333</v>
      </c>
      <c r="M46" s="454">
        <f t="shared" si="29"/>
        <v>1786773.333333333</v>
      </c>
      <c r="N46" s="454">
        <f t="shared" si="29"/>
        <v>1938509.583333333</v>
      </c>
      <c r="O46" s="454">
        <f t="shared" si="29"/>
        <v>272883.33333333337</v>
      </c>
      <c r="P46" s="455">
        <f>SUM(D46:O46)</f>
        <v>11176803.714999998</v>
      </c>
    </row>
    <row r="47" spans="1:17" s="456" customFormat="1" ht="18.5" thickBot="1" x14ac:dyDescent="0.4">
      <c r="A47" s="434"/>
      <c r="B47" s="434"/>
      <c r="C47" s="434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8"/>
    </row>
    <row r="48" spans="1:17" s="456" customFormat="1" ht="24" thickBot="1" x14ac:dyDescent="0.4">
      <c r="A48" s="435" t="s">
        <v>146</v>
      </c>
      <c r="B48" s="435"/>
      <c r="C48" s="435"/>
      <c r="D48" s="436">
        <f t="shared" ref="D48:O48" si="30">D18-D46</f>
        <v>-211908.52000000002</v>
      </c>
      <c r="E48" s="436">
        <f t="shared" si="30"/>
        <v>-246329.33300000001</v>
      </c>
      <c r="F48" s="436">
        <f t="shared" si="30"/>
        <v>-234610.86199999999</v>
      </c>
      <c r="G48" s="436">
        <f t="shared" si="30"/>
        <v>-52685.520833333372</v>
      </c>
      <c r="H48" s="436">
        <f t="shared" si="30"/>
        <v>551946.35416666663</v>
      </c>
      <c r="I48" s="436">
        <f t="shared" si="30"/>
        <v>1627776.0416666665</v>
      </c>
      <c r="J48" s="436">
        <f t="shared" si="30"/>
        <v>2508039.791666667</v>
      </c>
      <c r="K48" s="436">
        <f t="shared" si="30"/>
        <v>3828435.416666667</v>
      </c>
      <c r="L48" s="436">
        <f t="shared" si="30"/>
        <v>4658699.166666667</v>
      </c>
      <c r="M48" s="436">
        <f t="shared" si="30"/>
        <v>6469226.666666667</v>
      </c>
      <c r="N48" s="436">
        <f t="shared" si="30"/>
        <v>7349490.416666667</v>
      </c>
      <c r="O48" s="436">
        <f t="shared" si="30"/>
        <v>-272883.33333333337</v>
      </c>
      <c r="P48" s="455">
        <f>SUM(D48:O48)</f>
        <v>25975196.285000004</v>
      </c>
      <c r="Q48" s="456">
        <f>P48/P18</f>
        <v>0.69916010672372964</v>
      </c>
    </row>
    <row r="49" spans="1:17" s="456" customFormat="1" ht="15" thickTop="1" x14ac:dyDescent="0.35"/>
    <row r="50" spans="1:17" s="456" customFormat="1" x14ac:dyDescent="0.35"/>
    <row r="51" spans="1:17" s="456" customFormat="1" ht="18.5" thickBot="1" x14ac:dyDescent="0.4">
      <c r="A51" s="435" t="s">
        <v>168</v>
      </c>
      <c r="B51" s="435"/>
      <c r="C51" s="435"/>
      <c r="D51" s="437">
        <v>0</v>
      </c>
      <c r="E51" s="437">
        <f t="shared" ref="E51:O51" si="31">E18</f>
        <v>0</v>
      </c>
      <c r="F51" s="437">
        <f t="shared" si="31"/>
        <v>0</v>
      </c>
      <c r="G51" s="437">
        <f t="shared" si="31"/>
        <v>774000</v>
      </c>
      <c r="H51" s="437">
        <f t="shared" si="31"/>
        <v>1290000</v>
      </c>
      <c r="I51" s="437">
        <f t="shared" si="31"/>
        <v>2580000</v>
      </c>
      <c r="J51" s="437">
        <f t="shared" si="31"/>
        <v>3612000.0000000005</v>
      </c>
      <c r="K51" s="437">
        <f t="shared" si="31"/>
        <v>5160000</v>
      </c>
      <c r="L51" s="437">
        <f t="shared" si="31"/>
        <v>6192000</v>
      </c>
      <c r="M51" s="437">
        <f t="shared" si="31"/>
        <v>8256000</v>
      </c>
      <c r="N51" s="437">
        <f t="shared" si="31"/>
        <v>9288000</v>
      </c>
      <c r="O51" s="437">
        <f t="shared" si="31"/>
        <v>0</v>
      </c>
      <c r="P51" s="459"/>
    </row>
    <row r="52" spans="1:17" s="456" customFormat="1" ht="15" thickTop="1" x14ac:dyDescent="0.35">
      <c r="D52" s="459"/>
      <c r="E52" s="459"/>
      <c r="F52" s="459"/>
      <c r="G52" s="459"/>
      <c r="H52" s="459"/>
      <c r="I52" s="459"/>
      <c r="J52" s="459"/>
      <c r="K52" s="459"/>
      <c r="L52" s="459"/>
      <c r="M52" s="459"/>
      <c r="N52" s="459"/>
      <c r="O52" s="459"/>
      <c r="P52" s="459"/>
      <c r="Q52" s="460"/>
    </row>
    <row r="53" spans="1:17" s="456" customFormat="1" ht="18.5" thickBot="1" x14ac:dyDescent="0.4">
      <c r="A53" s="435" t="s">
        <v>162</v>
      </c>
      <c r="B53" s="435"/>
      <c r="C53" s="435"/>
      <c r="D53" s="437">
        <f>D51+D48</f>
        <v>-211908.52000000002</v>
      </c>
      <c r="E53" s="437">
        <f>D53+E51-E46</f>
        <v>-458237.853</v>
      </c>
      <c r="F53" s="437">
        <f t="shared" ref="F53:O53" si="32">E53+F51-F46</f>
        <v>-692848.71499999997</v>
      </c>
      <c r="G53" s="437">
        <f>F53+G51-G46</f>
        <v>-745534.23583333334</v>
      </c>
      <c r="H53" s="437">
        <f t="shared" si="32"/>
        <v>-193587.88166666671</v>
      </c>
      <c r="I53" s="437">
        <f t="shared" si="32"/>
        <v>1434188.1599999997</v>
      </c>
      <c r="J53" s="437">
        <f t="shared" si="32"/>
        <v>3942227.9516666671</v>
      </c>
      <c r="K53" s="437">
        <f t="shared" si="32"/>
        <v>7770663.368333335</v>
      </c>
      <c r="L53" s="437">
        <f t="shared" si="32"/>
        <v>12429362.535000002</v>
      </c>
      <c r="M53" s="437">
        <f t="shared" si="32"/>
        <v>18898589.201666672</v>
      </c>
      <c r="N53" s="437">
        <f t="shared" si="32"/>
        <v>26248079.61833334</v>
      </c>
      <c r="O53" s="437">
        <f t="shared" si="32"/>
        <v>25975196.285000008</v>
      </c>
      <c r="P53" s="459"/>
      <c r="Q53" s="460"/>
    </row>
    <row r="54" spans="1:17" ht="15" thickTop="1" x14ac:dyDescent="0.35"/>
    <row r="56" spans="1:17" x14ac:dyDescent="0.35">
      <c r="E56" s="446"/>
    </row>
    <row r="57" spans="1:17" x14ac:dyDescent="0.35">
      <c r="E57" s="446"/>
    </row>
  </sheetData>
  <pageMargins left="0.7" right="0.7" top="0.75" bottom="0.75" header="0.3" footer="0.3"/>
  <pageSetup scale="30" orientation="portrait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813E-A3BE-49A0-B1CA-437F25ACEC33}">
  <dimension ref="A3:Q57"/>
  <sheetViews>
    <sheetView showGridLines="0" view="pageBreakPreview" topLeftCell="A4" zoomScale="60" zoomScaleNormal="60" workbookViewId="0">
      <pane xSplit="3" ySplit="1" topLeftCell="D5" activePane="bottomRight" state="frozen"/>
      <selection activeCell="A4" sqref="A4"/>
      <selection pane="topRight" activeCell="C4" sqref="C4"/>
      <selection pane="bottomLeft" activeCell="A5" sqref="A5"/>
      <selection pane="bottomRight" activeCell="P48" sqref="P48"/>
    </sheetView>
  </sheetViews>
  <sheetFormatPr defaultRowHeight="14.5" x14ac:dyDescent="0.35"/>
  <cols>
    <col min="1" max="1" width="41.26953125" style="228" bestFit="1" customWidth="1"/>
    <col min="2" max="2" width="6.453125" style="228" customWidth="1"/>
    <col min="3" max="8" width="14.36328125" style="228" bestFit="1" customWidth="1"/>
    <col min="9" max="9" width="15" style="228" bestFit="1" customWidth="1"/>
    <col min="10" max="14" width="15.81640625" style="228" bestFit="1" customWidth="1"/>
    <col min="15" max="15" width="15" style="228" bestFit="1" customWidth="1"/>
    <col min="16" max="16" width="20.26953125" style="228" bestFit="1" customWidth="1"/>
    <col min="17" max="17" width="12.7265625" style="228" customWidth="1"/>
    <col min="18" max="16384" width="8.7265625" style="228"/>
  </cols>
  <sheetData>
    <row r="3" spans="1:17" ht="15" thickBot="1" x14ac:dyDescent="0.4"/>
    <row r="4" spans="1:17" ht="21" x14ac:dyDescent="0.35">
      <c r="A4" s="12"/>
      <c r="B4" s="12"/>
      <c r="C4" s="12"/>
      <c r="D4" s="440">
        <v>45870</v>
      </c>
      <c r="E4" s="440">
        <v>45901</v>
      </c>
      <c r="F4" s="440">
        <v>45931</v>
      </c>
      <c r="G4" s="440">
        <v>45962</v>
      </c>
      <c r="H4" s="440">
        <v>45992</v>
      </c>
      <c r="I4" s="440">
        <v>46023</v>
      </c>
      <c r="J4" s="440">
        <v>46054</v>
      </c>
      <c r="K4" s="440">
        <v>46082</v>
      </c>
      <c r="L4" s="440">
        <v>46113</v>
      </c>
      <c r="M4" s="440">
        <v>46143</v>
      </c>
      <c r="N4" s="440">
        <v>46174</v>
      </c>
      <c r="O4" s="440">
        <v>46204</v>
      </c>
      <c r="P4" s="441" t="s">
        <v>148</v>
      </c>
    </row>
    <row r="5" spans="1:17" ht="18" x14ac:dyDescent="0.3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42"/>
    </row>
    <row r="6" spans="1:17" ht="19" thickBot="1" x14ac:dyDescent="0.4">
      <c r="A6" s="1" t="s">
        <v>1</v>
      </c>
      <c r="B6" s="432" t="s">
        <v>177</v>
      </c>
      <c r="C6" s="111" t="s">
        <v>176</v>
      </c>
      <c r="D6" s="443"/>
      <c r="E6" s="444"/>
      <c r="F6" s="444"/>
      <c r="G6" s="480"/>
      <c r="H6" s="444"/>
      <c r="I6" s="444"/>
      <c r="J6" s="444"/>
      <c r="K6" s="444"/>
      <c r="L6" s="444"/>
      <c r="M6" s="444"/>
      <c r="N6" s="444"/>
      <c r="O6" s="443"/>
      <c r="P6" s="442"/>
    </row>
    <row r="7" spans="1:17" s="446" customFormat="1" ht="19" thickBot="1" x14ac:dyDescent="0.4">
      <c r="A7" s="476" t="s">
        <v>184</v>
      </c>
      <c r="B7" s="477">
        <v>0.04</v>
      </c>
      <c r="C7" s="478"/>
      <c r="D7" s="445">
        <v>0</v>
      </c>
      <c r="E7" s="445">
        <v>0.01</v>
      </c>
      <c r="F7" s="445">
        <v>0.02</v>
      </c>
      <c r="G7" s="445">
        <v>0.04</v>
      </c>
      <c r="H7" s="445">
        <v>0.05</v>
      </c>
      <c r="I7" s="445">
        <v>7.0000000000000007E-2</v>
      </c>
      <c r="J7" s="445">
        <v>0.1</v>
      </c>
      <c r="K7" s="445">
        <v>0.14000000000000001</v>
      </c>
      <c r="L7" s="445">
        <v>0.18</v>
      </c>
      <c r="M7" s="445">
        <v>0.18</v>
      </c>
      <c r="N7" s="445">
        <v>0.21</v>
      </c>
      <c r="O7" s="445">
        <v>0</v>
      </c>
      <c r="P7" s="479">
        <f>SUM(D7:O7)</f>
        <v>1</v>
      </c>
    </row>
    <row r="8" spans="1:17" ht="18.5" x14ac:dyDescent="0.35">
      <c r="A8" s="467" t="s">
        <v>180</v>
      </c>
      <c r="B8" s="468">
        <f>B7*0.25</f>
        <v>0.01</v>
      </c>
      <c r="C8" s="469">
        <v>300</v>
      </c>
      <c r="D8" s="463">
        <f t="shared" ref="D8:O10" si="0">$B8*D$7*$C$17</f>
        <v>0</v>
      </c>
      <c r="E8" s="464">
        <f>$B8*E$7*$C$17</f>
        <v>860</v>
      </c>
      <c r="F8" s="464">
        <f t="shared" si="0"/>
        <v>1720</v>
      </c>
      <c r="G8" s="464">
        <f t="shared" si="0"/>
        <v>3440</v>
      </c>
      <c r="H8" s="465">
        <f t="shared" si="0"/>
        <v>4300</v>
      </c>
      <c r="I8" s="465">
        <f t="shared" si="0"/>
        <v>6020.0000000000009</v>
      </c>
      <c r="J8" s="465">
        <f t="shared" si="0"/>
        <v>8600</v>
      </c>
      <c r="K8" s="466">
        <f t="shared" si="0"/>
        <v>12040.000000000002</v>
      </c>
      <c r="L8" s="466">
        <f t="shared" si="0"/>
        <v>15480</v>
      </c>
      <c r="M8" s="466">
        <f t="shared" si="0"/>
        <v>15480</v>
      </c>
      <c r="N8" s="466">
        <f t="shared" si="0"/>
        <v>18060</v>
      </c>
      <c r="O8" s="463">
        <f t="shared" si="0"/>
        <v>0</v>
      </c>
      <c r="P8" s="447"/>
      <c r="Q8" s="448"/>
    </row>
    <row r="9" spans="1:17" ht="18.5" x14ac:dyDescent="0.35">
      <c r="A9" s="470" t="s">
        <v>181</v>
      </c>
      <c r="B9" s="471">
        <f>B7*0.5</f>
        <v>0.02</v>
      </c>
      <c r="C9" s="472">
        <v>300</v>
      </c>
      <c r="D9" s="463">
        <f t="shared" si="0"/>
        <v>0</v>
      </c>
      <c r="E9" s="464">
        <f t="shared" si="0"/>
        <v>1720</v>
      </c>
      <c r="F9" s="464">
        <f t="shared" si="0"/>
        <v>3440</v>
      </c>
      <c r="G9" s="464">
        <f t="shared" si="0"/>
        <v>6880</v>
      </c>
      <c r="H9" s="465">
        <f t="shared" si="0"/>
        <v>8600</v>
      </c>
      <c r="I9" s="465">
        <f t="shared" si="0"/>
        <v>12040.000000000002</v>
      </c>
      <c r="J9" s="465">
        <f t="shared" si="0"/>
        <v>17200</v>
      </c>
      <c r="K9" s="466">
        <f t="shared" si="0"/>
        <v>24080.000000000004</v>
      </c>
      <c r="L9" s="466">
        <f t="shared" si="0"/>
        <v>30960</v>
      </c>
      <c r="M9" s="466">
        <f t="shared" si="0"/>
        <v>30960</v>
      </c>
      <c r="N9" s="466">
        <f t="shared" si="0"/>
        <v>36120</v>
      </c>
      <c r="O9" s="463">
        <f t="shared" si="0"/>
        <v>0</v>
      </c>
      <c r="P9" s="447"/>
      <c r="Q9" s="448"/>
    </row>
    <row r="10" spans="1:17" ht="19" thickBot="1" x14ac:dyDescent="0.4">
      <c r="A10" s="473" t="s">
        <v>182</v>
      </c>
      <c r="B10" s="474">
        <f>B7*0.25</f>
        <v>0.01</v>
      </c>
      <c r="C10" s="475">
        <v>300</v>
      </c>
      <c r="D10" s="463">
        <f t="shared" si="0"/>
        <v>0</v>
      </c>
      <c r="E10" s="464">
        <f t="shared" si="0"/>
        <v>860</v>
      </c>
      <c r="F10" s="464">
        <f t="shared" si="0"/>
        <v>1720</v>
      </c>
      <c r="G10" s="464">
        <f t="shared" si="0"/>
        <v>3440</v>
      </c>
      <c r="H10" s="465">
        <f t="shared" si="0"/>
        <v>4300</v>
      </c>
      <c r="I10" s="465">
        <f t="shared" si="0"/>
        <v>6020.0000000000009</v>
      </c>
      <c r="J10" s="465">
        <f t="shared" si="0"/>
        <v>8600</v>
      </c>
      <c r="K10" s="466">
        <f t="shared" si="0"/>
        <v>12040.000000000002</v>
      </c>
      <c r="L10" s="466">
        <f t="shared" si="0"/>
        <v>15480</v>
      </c>
      <c r="M10" s="466">
        <f t="shared" si="0"/>
        <v>15480</v>
      </c>
      <c r="N10" s="466">
        <f t="shared" si="0"/>
        <v>18060</v>
      </c>
      <c r="O10" s="463">
        <f t="shared" si="0"/>
        <v>0</v>
      </c>
      <c r="P10" s="447"/>
      <c r="Q10" s="448"/>
    </row>
    <row r="11" spans="1:17" ht="24" thickBot="1" x14ac:dyDescent="0.4">
      <c r="A11" s="4" t="s">
        <v>148</v>
      </c>
      <c r="B11" s="4"/>
      <c r="C11" s="4"/>
      <c r="D11" s="107">
        <f>SUM(D8:D10)</f>
        <v>0</v>
      </c>
      <c r="E11" s="107">
        <f>SUM(E8:E10)</f>
        <v>3440</v>
      </c>
      <c r="F11" s="107">
        <f t="shared" ref="F11:O11" si="1">SUM(F8:F10)</f>
        <v>6880</v>
      </c>
      <c r="G11" s="107">
        <f t="shared" si="1"/>
        <v>13760</v>
      </c>
      <c r="H11" s="107">
        <f t="shared" si="1"/>
        <v>17200</v>
      </c>
      <c r="I11" s="107">
        <f t="shared" si="1"/>
        <v>24080.000000000004</v>
      </c>
      <c r="J11" s="107">
        <f>SUM(J8:J10)</f>
        <v>34400</v>
      </c>
      <c r="K11" s="107">
        <f t="shared" si="1"/>
        <v>48160.000000000007</v>
      </c>
      <c r="L11" s="107">
        <f t="shared" si="1"/>
        <v>61920</v>
      </c>
      <c r="M11" s="107">
        <f t="shared" si="1"/>
        <v>61920</v>
      </c>
      <c r="N11" s="107">
        <f t="shared" si="1"/>
        <v>72240</v>
      </c>
      <c r="O11" s="107">
        <f t="shared" si="1"/>
        <v>0</v>
      </c>
      <c r="P11" s="449">
        <f>SUM(D11:O11)</f>
        <v>344000</v>
      </c>
      <c r="Q11" s="450"/>
    </row>
    <row r="12" spans="1:17" ht="18" x14ac:dyDescent="0.35">
      <c r="A12" s="1" t="s">
        <v>4</v>
      </c>
      <c r="B12" s="5"/>
      <c r="C12" s="5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263"/>
      <c r="P12" s="442"/>
    </row>
    <row r="13" spans="1:17" ht="17.5" x14ac:dyDescent="0.35">
      <c r="A13" s="461" t="s">
        <v>8</v>
      </c>
      <c r="B13" s="461"/>
      <c r="C13" s="461"/>
      <c r="D13" s="462">
        <f t="shared" ref="D13:O15" si="2">D8*$C8</f>
        <v>0</v>
      </c>
      <c r="E13" s="462">
        <f>E8*$C8</f>
        <v>258000</v>
      </c>
      <c r="F13" s="462">
        <f t="shared" ref="F13:O13" si="3">F8*$C8</f>
        <v>516000</v>
      </c>
      <c r="G13" s="462">
        <f t="shared" si="3"/>
        <v>1032000</v>
      </c>
      <c r="H13" s="462">
        <f t="shared" si="3"/>
        <v>1290000</v>
      </c>
      <c r="I13" s="462">
        <f t="shared" si="3"/>
        <v>1806000.0000000002</v>
      </c>
      <c r="J13" s="462">
        <f t="shared" si="3"/>
        <v>2580000</v>
      </c>
      <c r="K13" s="462">
        <f t="shared" si="3"/>
        <v>3612000.0000000005</v>
      </c>
      <c r="L13" s="462">
        <f t="shared" si="3"/>
        <v>4644000</v>
      </c>
      <c r="M13" s="462">
        <f t="shared" si="3"/>
        <v>4644000</v>
      </c>
      <c r="N13" s="462">
        <f t="shared" si="3"/>
        <v>5418000</v>
      </c>
      <c r="O13" s="462">
        <f t="shared" si="3"/>
        <v>0</v>
      </c>
      <c r="P13" s="447"/>
    </row>
    <row r="14" spans="1:17" ht="17.5" x14ac:dyDescent="0.35">
      <c r="A14" s="461" t="s">
        <v>9</v>
      </c>
      <c r="B14" s="461"/>
      <c r="C14" s="461"/>
      <c r="D14" s="462">
        <f t="shared" si="2"/>
        <v>0</v>
      </c>
      <c r="E14" s="462">
        <f t="shared" si="2"/>
        <v>516000</v>
      </c>
      <c r="F14" s="462">
        <f t="shared" si="2"/>
        <v>1032000</v>
      </c>
      <c r="G14" s="462">
        <f t="shared" si="2"/>
        <v>2064000</v>
      </c>
      <c r="H14" s="462">
        <f t="shared" si="2"/>
        <v>2580000</v>
      </c>
      <c r="I14" s="462">
        <f t="shared" si="2"/>
        <v>3612000.0000000005</v>
      </c>
      <c r="J14" s="462">
        <f t="shared" si="2"/>
        <v>5160000</v>
      </c>
      <c r="K14" s="462">
        <f t="shared" si="2"/>
        <v>7224000.0000000009</v>
      </c>
      <c r="L14" s="462">
        <f t="shared" si="2"/>
        <v>9288000</v>
      </c>
      <c r="M14" s="462">
        <f t="shared" si="2"/>
        <v>9288000</v>
      </c>
      <c r="N14" s="462">
        <f t="shared" si="2"/>
        <v>10836000</v>
      </c>
      <c r="O14" s="462">
        <f t="shared" si="2"/>
        <v>0</v>
      </c>
      <c r="P14" s="442"/>
    </row>
    <row r="15" spans="1:17" ht="18" thickBot="1" x14ac:dyDescent="0.4">
      <c r="A15" s="461" t="s">
        <v>10</v>
      </c>
      <c r="B15" s="461"/>
      <c r="C15" s="461"/>
      <c r="D15" s="462">
        <f t="shared" si="2"/>
        <v>0</v>
      </c>
      <c r="E15" s="462">
        <f t="shared" si="2"/>
        <v>258000</v>
      </c>
      <c r="F15" s="462">
        <f t="shared" si="2"/>
        <v>516000</v>
      </c>
      <c r="G15" s="462">
        <f t="shared" si="2"/>
        <v>1032000</v>
      </c>
      <c r="H15" s="462">
        <f t="shared" si="2"/>
        <v>1290000</v>
      </c>
      <c r="I15" s="462">
        <f t="shared" si="2"/>
        <v>1806000.0000000002</v>
      </c>
      <c r="J15" s="462">
        <f t="shared" si="2"/>
        <v>2580000</v>
      </c>
      <c r="K15" s="462">
        <f t="shared" si="2"/>
        <v>3612000.0000000005</v>
      </c>
      <c r="L15" s="462">
        <f t="shared" si="2"/>
        <v>4644000</v>
      </c>
      <c r="M15" s="462">
        <f t="shared" si="2"/>
        <v>4644000</v>
      </c>
      <c r="N15" s="462">
        <f t="shared" si="2"/>
        <v>5418000</v>
      </c>
      <c r="O15" s="462">
        <f t="shared" si="2"/>
        <v>0</v>
      </c>
      <c r="P15" s="442"/>
    </row>
    <row r="16" spans="1:17" ht="24" thickBot="1" x14ac:dyDescent="0.4">
      <c r="A16" s="117" t="s">
        <v>179</v>
      </c>
      <c r="B16" s="117"/>
      <c r="C16" s="117"/>
      <c r="D16" s="451">
        <f>SUM(D13:D15)</f>
        <v>0</v>
      </c>
      <c r="E16" s="451">
        <f>SUM(E13:E15)</f>
        <v>1032000</v>
      </c>
      <c r="F16" s="451">
        <f t="shared" ref="F16:O16" si="4">SUM(F13:F15)</f>
        <v>2064000</v>
      </c>
      <c r="G16" s="451">
        <f t="shared" si="4"/>
        <v>4128000</v>
      </c>
      <c r="H16" s="451">
        <f t="shared" si="4"/>
        <v>5160000</v>
      </c>
      <c r="I16" s="451">
        <f>SUM(I13:I15)</f>
        <v>7224000.0000000009</v>
      </c>
      <c r="J16" s="451">
        <f t="shared" si="4"/>
        <v>10320000</v>
      </c>
      <c r="K16" s="451">
        <f t="shared" si="4"/>
        <v>14448000.000000002</v>
      </c>
      <c r="L16" s="451">
        <f t="shared" si="4"/>
        <v>18576000</v>
      </c>
      <c r="M16" s="451">
        <f t="shared" si="4"/>
        <v>18576000</v>
      </c>
      <c r="N16" s="451">
        <f t="shared" si="4"/>
        <v>21672000</v>
      </c>
      <c r="O16" s="451">
        <f t="shared" si="4"/>
        <v>0</v>
      </c>
      <c r="P16" s="449">
        <f>SUM(D16:O16)</f>
        <v>103200000</v>
      </c>
    </row>
    <row r="17" spans="1:17" ht="18.5" thickBot="1" x14ac:dyDescent="0.4">
      <c r="A17" s="16" t="s">
        <v>178</v>
      </c>
      <c r="B17" s="408"/>
      <c r="C17" s="408">
        <v>8600000</v>
      </c>
      <c r="D17" s="438">
        <f t="shared" ref="D17" si="5">D11/$C$17</f>
        <v>0</v>
      </c>
      <c r="E17" s="439">
        <f>E11/$C$17</f>
        <v>4.0000000000000002E-4</v>
      </c>
      <c r="F17" s="439">
        <f t="shared" ref="F17:O17" si="6">F11/$C$17</f>
        <v>8.0000000000000004E-4</v>
      </c>
      <c r="G17" s="439">
        <f t="shared" si="6"/>
        <v>1.6000000000000001E-3</v>
      </c>
      <c r="H17" s="439">
        <f t="shared" si="6"/>
        <v>2E-3</v>
      </c>
      <c r="I17" s="439">
        <f t="shared" si="6"/>
        <v>2.8000000000000004E-3</v>
      </c>
      <c r="J17" s="439">
        <f t="shared" si="6"/>
        <v>4.0000000000000001E-3</v>
      </c>
      <c r="K17" s="439">
        <f t="shared" si="6"/>
        <v>5.6000000000000008E-3</v>
      </c>
      <c r="L17" s="439">
        <f t="shared" si="6"/>
        <v>7.1999999999999998E-3</v>
      </c>
      <c r="M17" s="439">
        <f t="shared" si="6"/>
        <v>7.1999999999999998E-3</v>
      </c>
      <c r="N17" s="439">
        <f t="shared" si="6"/>
        <v>8.3999999999999995E-3</v>
      </c>
      <c r="O17" s="438">
        <f t="shared" si="6"/>
        <v>0</v>
      </c>
      <c r="P17" s="452">
        <f>P11/C17</f>
        <v>0.04</v>
      </c>
    </row>
    <row r="18" spans="1:17" ht="24" thickBot="1" x14ac:dyDescent="0.4">
      <c r="A18" s="45" t="s">
        <v>13</v>
      </c>
      <c r="B18" s="45"/>
      <c r="C18" s="45"/>
      <c r="D18" s="453">
        <f>SUM(D16:D17)</f>
        <v>0</v>
      </c>
      <c r="E18" s="453">
        <f t="shared" ref="E18:N18" si="7">E16</f>
        <v>1032000</v>
      </c>
      <c r="F18" s="453">
        <f t="shared" si="7"/>
        <v>2064000</v>
      </c>
      <c r="G18" s="453">
        <f t="shared" si="7"/>
        <v>4128000</v>
      </c>
      <c r="H18" s="453">
        <f t="shared" si="7"/>
        <v>5160000</v>
      </c>
      <c r="I18" s="453">
        <f t="shared" si="7"/>
        <v>7224000.0000000009</v>
      </c>
      <c r="J18" s="453">
        <f t="shared" si="7"/>
        <v>10320000</v>
      </c>
      <c r="K18" s="453">
        <f t="shared" si="7"/>
        <v>14448000.000000002</v>
      </c>
      <c r="L18" s="453">
        <f t="shared" si="7"/>
        <v>18576000</v>
      </c>
      <c r="M18" s="453">
        <f t="shared" si="7"/>
        <v>18576000</v>
      </c>
      <c r="N18" s="453">
        <f t="shared" si="7"/>
        <v>21672000</v>
      </c>
      <c r="O18" s="453">
        <f>SUM(O16:O17)</f>
        <v>0</v>
      </c>
      <c r="P18" s="449">
        <f>SUM(D18:O18)</f>
        <v>103200000</v>
      </c>
    </row>
    <row r="19" spans="1:17" x14ac:dyDescent="0.35"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442"/>
    </row>
    <row r="20" spans="1:17" ht="18.5" thickBot="1" x14ac:dyDescent="0.4">
      <c r="A20" s="7" t="s">
        <v>21</v>
      </c>
      <c r="B20" s="7"/>
      <c r="C20" s="7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442"/>
    </row>
    <row r="21" spans="1:17" ht="24" thickBot="1" x14ac:dyDescent="0.4">
      <c r="A21" s="16" t="s">
        <v>152</v>
      </c>
      <c r="B21" s="129"/>
      <c r="C21" s="129"/>
      <c r="D21" s="443">
        <v>500000</v>
      </c>
      <c r="E21" s="443">
        <f>D21</f>
        <v>500000</v>
      </c>
      <c r="F21" s="443">
        <f t="shared" ref="F21:O21" si="8">E21</f>
        <v>500000</v>
      </c>
      <c r="G21" s="443">
        <f t="shared" si="8"/>
        <v>500000</v>
      </c>
      <c r="H21" s="443">
        <f>G21</f>
        <v>500000</v>
      </c>
      <c r="I21" s="443">
        <f t="shared" si="8"/>
        <v>500000</v>
      </c>
      <c r="J21" s="443">
        <f t="shared" si="8"/>
        <v>500000</v>
      </c>
      <c r="K21" s="443">
        <f t="shared" si="8"/>
        <v>500000</v>
      </c>
      <c r="L21" s="443">
        <f t="shared" si="8"/>
        <v>500000</v>
      </c>
      <c r="M21" s="443">
        <f t="shared" si="8"/>
        <v>500000</v>
      </c>
      <c r="N21" s="443">
        <f t="shared" si="8"/>
        <v>500000</v>
      </c>
      <c r="O21" s="443">
        <f t="shared" si="8"/>
        <v>500000</v>
      </c>
      <c r="P21" s="449">
        <f t="shared" ref="P21:P45" si="9">SUM(D21:O21)</f>
        <v>6000000</v>
      </c>
    </row>
    <row r="22" spans="1:17" ht="24" thickBot="1" x14ac:dyDescent="0.4">
      <c r="A22" s="16" t="s">
        <v>23</v>
      </c>
      <c r="B22" s="16"/>
      <c r="C22" s="16"/>
      <c r="D22" s="443">
        <v>25000</v>
      </c>
      <c r="E22" s="443">
        <f t="shared" ref="E22:O22" si="10">D22</f>
        <v>25000</v>
      </c>
      <c r="F22" s="443">
        <f t="shared" si="10"/>
        <v>25000</v>
      </c>
      <c r="G22" s="443">
        <f t="shared" si="10"/>
        <v>25000</v>
      </c>
      <c r="H22" s="443">
        <f t="shared" si="10"/>
        <v>25000</v>
      </c>
      <c r="I22" s="443">
        <f t="shared" si="10"/>
        <v>25000</v>
      </c>
      <c r="J22" s="443">
        <f t="shared" si="10"/>
        <v>25000</v>
      </c>
      <c r="K22" s="443">
        <f t="shared" si="10"/>
        <v>25000</v>
      </c>
      <c r="L22" s="443">
        <f t="shared" si="10"/>
        <v>25000</v>
      </c>
      <c r="M22" s="443">
        <f t="shared" si="10"/>
        <v>25000</v>
      </c>
      <c r="N22" s="443">
        <f t="shared" si="10"/>
        <v>25000</v>
      </c>
      <c r="O22" s="443">
        <f t="shared" si="10"/>
        <v>25000</v>
      </c>
      <c r="P22" s="449">
        <f t="shared" si="9"/>
        <v>300000</v>
      </c>
    </row>
    <row r="23" spans="1:17" ht="24" thickBot="1" x14ac:dyDescent="0.4">
      <c r="A23" s="16" t="s">
        <v>157</v>
      </c>
      <c r="B23" s="16"/>
      <c r="C23" s="16"/>
      <c r="D23" s="443">
        <v>500000</v>
      </c>
      <c r="E23" s="443">
        <v>1000000</v>
      </c>
      <c r="F23" s="443">
        <v>500000</v>
      </c>
      <c r="G23" s="443">
        <v>500000</v>
      </c>
      <c r="H23" s="443">
        <v>500000</v>
      </c>
      <c r="I23" s="443">
        <v>500000</v>
      </c>
      <c r="J23" s="443">
        <v>500000</v>
      </c>
      <c r="K23" s="443">
        <v>500000</v>
      </c>
      <c r="L23" s="443">
        <v>500000</v>
      </c>
      <c r="M23" s="443">
        <v>500000</v>
      </c>
      <c r="N23" s="443">
        <v>500000</v>
      </c>
      <c r="O23" s="443">
        <v>0</v>
      </c>
      <c r="P23" s="449">
        <f t="shared" si="9"/>
        <v>6000000</v>
      </c>
    </row>
    <row r="24" spans="1:17" ht="24" thickBot="1" x14ac:dyDescent="0.4">
      <c r="A24" s="16" t="s">
        <v>185</v>
      </c>
      <c r="B24" s="16" t="s">
        <v>216</v>
      </c>
      <c r="C24" s="16"/>
      <c r="D24" s="443">
        <f>_xlfn.XLOOKUP($B$24,'250 calc'!$A$83:$A$85,'250 calc'!$C$83:$C$85,0)*D11</f>
        <v>0</v>
      </c>
      <c r="E24" s="443">
        <f>_xlfn.XLOOKUP($B$24,'250 calc'!$A$83:$A$85,'250 calc'!$C$83:$C$85,0)*E11</f>
        <v>140126.24999999997</v>
      </c>
      <c r="F24" s="443">
        <f>_xlfn.XLOOKUP($B$24,'250 calc'!$A$83:$A$85,'250 calc'!$C$83:$C$85,0)*F11</f>
        <v>280252.49999999994</v>
      </c>
      <c r="G24" s="443">
        <f>_xlfn.XLOOKUP($B$24,'250 calc'!$A$83:$A$85,'250 calc'!$C$83:$C$85,0)*G11</f>
        <v>560504.99999999988</v>
      </c>
      <c r="H24" s="443">
        <f>_xlfn.XLOOKUP($B$24,'250 calc'!$A$83:$A$85,'250 calc'!$C$83:$C$85,0)*H11</f>
        <v>700631.24999999988</v>
      </c>
      <c r="I24" s="443">
        <f>_xlfn.XLOOKUP($B$24,'250 calc'!$A$83:$A$85,'250 calc'!$C$83:$C$85,0)*I11</f>
        <v>980883.75</v>
      </c>
      <c r="J24" s="443">
        <f>_xlfn.XLOOKUP($B$24,'250 calc'!$A$83:$A$85,'250 calc'!$C$83:$C$85,0)*J11</f>
        <v>1401262.4999999998</v>
      </c>
      <c r="K24" s="443">
        <f>_xlfn.XLOOKUP($B$24,'250 calc'!$A$83:$A$85,'250 calc'!$C$83:$C$85,0)*K11</f>
        <v>1961767.5</v>
      </c>
      <c r="L24" s="443">
        <f>_xlfn.XLOOKUP($B$24,'250 calc'!$A$83:$A$85,'250 calc'!$C$83:$C$85,0)*L11</f>
        <v>2522272.4999999995</v>
      </c>
      <c r="M24" s="443">
        <f>_xlfn.XLOOKUP($B$24,'250 calc'!$A$83:$A$85,'250 calc'!$C$83:$C$85,0)*M11</f>
        <v>2522272.4999999995</v>
      </c>
      <c r="N24" s="443">
        <f>_xlfn.XLOOKUP($B$24,'250 calc'!$A$83:$A$85,'250 calc'!$C$83:$C$85,0)*N11</f>
        <v>2942651.2499999995</v>
      </c>
      <c r="O24" s="443">
        <f>_xlfn.XLOOKUP($B$24,'250 calc'!$A$83:$A$85,'250 calc'!$C$83:$C$85,0)*O11</f>
        <v>0</v>
      </c>
      <c r="P24" s="449">
        <f t="shared" si="9"/>
        <v>14012624.999999998</v>
      </c>
    </row>
    <row r="25" spans="1:17" ht="24" thickBot="1" x14ac:dyDescent="0.4">
      <c r="A25" s="16" t="s">
        <v>224</v>
      </c>
      <c r="B25" s="16" t="s">
        <v>220</v>
      </c>
      <c r="C25" s="16"/>
      <c r="D25" s="443">
        <f>_xlfn.XLOOKUP($B$25,'1000 calc'!$A$75:$A$77,'1000 calc'!$C$75:$C$77,0)*D11</f>
        <v>0</v>
      </c>
      <c r="E25" s="443">
        <f>_xlfn.XLOOKUP($B$25,'1000 calc'!$A$75:$A$77,'1000 calc'!$C$75:$C$77,0)*E11</f>
        <v>11610</v>
      </c>
      <c r="F25" s="443">
        <f>_xlfn.XLOOKUP($B$25,'1000 calc'!$A$75:$A$77,'1000 calc'!$C$75:$C$77,0)*F11</f>
        <v>23220</v>
      </c>
      <c r="G25" s="443">
        <f>_xlfn.XLOOKUP($B$25,'1000 calc'!$A$75:$A$77,'1000 calc'!$C$75:$C$77,0)*G11</f>
        <v>46440</v>
      </c>
      <c r="H25" s="443">
        <f>_xlfn.XLOOKUP($B$25,'1000 calc'!$A$75:$A$77,'1000 calc'!$C$75:$C$77,0)*H11</f>
        <v>58050</v>
      </c>
      <c r="I25" s="443">
        <f>_xlfn.XLOOKUP($B$25,'1000 calc'!$A$75:$A$77,'1000 calc'!$C$75:$C$77,0)*I11</f>
        <v>81270.000000000015</v>
      </c>
      <c r="J25" s="443">
        <f>_xlfn.XLOOKUP($B$25,'1000 calc'!$A$75:$A$77,'1000 calc'!$C$75:$C$77,0)*J11</f>
        <v>116100</v>
      </c>
      <c r="K25" s="443">
        <f>_xlfn.XLOOKUP($B$25,'1000 calc'!$A$75:$A$77,'1000 calc'!$C$75:$C$77,0)*K11</f>
        <v>162540.00000000003</v>
      </c>
      <c r="L25" s="443">
        <f>_xlfn.XLOOKUP($B$25,'1000 calc'!$A$75:$A$77,'1000 calc'!$C$75:$C$77,0)*L11</f>
        <v>208980</v>
      </c>
      <c r="M25" s="443">
        <f>_xlfn.XLOOKUP($B$25,'1000 calc'!$A$75:$A$77,'1000 calc'!$C$75:$C$77,0)*M11</f>
        <v>208980</v>
      </c>
      <c r="N25" s="443">
        <f>_xlfn.XLOOKUP($B$25,'1000 calc'!$A$75:$A$77,'1000 calc'!$C$75:$C$77,0)*N11</f>
        <v>243810</v>
      </c>
      <c r="O25" s="443">
        <f>_xlfn.XLOOKUP($B$25,'1000 calc'!$A$75:$A$77,'1000 calc'!$C$75:$C$77,0)*O11</f>
        <v>0</v>
      </c>
      <c r="P25" s="449">
        <f t="shared" si="9"/>
        <v>1161000</v>
      </c>
    </row>
    <row r="26" spans="1:17" ht="24" thickBot="1" x14ac:dyDescent="0.4">
      <c r="A26" s="16" t="s">
        <v>228</v>
      </c>
      <c r="B26" s="16"/>
      <c r="D26" s="443">
        <v>80000</v>
      </c>
      <c r="E26" s="443">
        <v>0</v>
      </c>
      <c r="F26" s="443">
        <v>0</v>
      </c>
      <c r="G26" s="443">
        <v>0</v>
      </c>
      <c r="H26" s="443">
        <v>0</v>
      </c>
      <c r="I26" s="443">
        <v>0</v>
      </c>
      <c r="J26" s="443">
        <v>0</v>
      </c>
      <c r="K26" s="443">
        <v>0</v>
      </c>
      <c r="L26" s="443">
        <v>0</v>
      </c>
      <c r="M26" s="443">
        <v>0</v>
      </c>
      <c r="N26" s="443">
        <v>0</v>
      </c>
      <c r="O26" s="443">
        <v>0</v>
      </c>
      <c r="P26" s="449">
        <f t="shared" si="9"/>
        <v>80000</v>
      </c>
      <c r="Q26" s="446"/>
    </row>
    <row r="27" spans="1:17" ht="24" thickBot="1" x14ac:dyDescent="0.4">
      <c r="A27" s="24" t="s">
        <v>25</v>
      </c>
      <c r="B27" s="16"/>
      <c r="C27" s="16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449"/>
    </row>
    <row r="28" spans="1:17" ht="24" thickBot="1" x14ac:dyDescent="0.4">
      <c r="A28" s="16" t="s">
        <v>27</v>
      </c>
      <c r="B28" s="16"/>
      <c r="C28" s="16"/>
      <c r="D28" s="443">
        <v>10000</v>
      </c>
      <c r="E28" s="443">
        <f t="shared" ref="E28:O34" si="11">D28</f>
        <v>10000</v>
      </c>
      <c r="F28" s="443">
        <f t="shared" si="11"/>
        <v>10000</v>
      </c>
      <c r="G28" s="443">
        <f t="shared" si="11"/>
        <v>10000</v>
      </c>
      <c r="H28" s="443">
        <f t="shared" si="11"/>
        <v>10000</v>
      </c>
      <c r="I28" s="443">
        <f t="shared" si="11"/>
        <v>10000</v>
      </c>
      <c r="J28" s="443">
        <f t="shared" si="11"/>
        <v>10000</v>
      </c>
      <c r="K28" s="443">
        <f t="shared" si="11"/>
        <v>10000</v>
      </c>
      <c r="L28" s="443">
        <f t="shared" si="11"/>
        <v>10000</v>
      </c>
      <c r="M28" s="443">
        <f t="shared" si="11"/>
        <v>10000</v>
      </c>
      <c r="N28" s="443">
        <f t="shared" si="11"/>
        <v>10000</v>
      </c>
      <c r="O28" s="443">
        <f t="shared" si="11"/>
        <v>10000</v>
      </c>
      <c r="P28" s="449">
        <f t="shared" si="9"/>
        <v>120000</v>
      </c>
    </row>
    <row r="29" spans="1:17" ht="24" thickBot="1" x14ac:dyDescent="0.4">
      <c r="A29" s="16" t="s">
        <v>28</v>
      </c>
      <c r="B29" s="16"/>
      <c r="C29" s="16"/>
      <c r="D29" s="443">
        <v>2500</v>
      </c>
      <c r="E29" s="443">
        <f t="shared" si="11"/>
        <v>2500</v>
      </c>
      <c r="F29" s="443">
        <f t="shared" si="11"/>
        <v>2500</v>
      </c>
      <c r="G29" s="443">
        <f t="shared" si="11"/>
        <v>2500</v>
      </c>
      <c r="H29" s="443">
        <f t="shared" si="11"/>
        <v>2500</v>
      </c>
      <c r="I29" s="443">
        <f t="shared" si="11"/>
        <v>2500</v>
      </c>
      <c r="J29" s="443">
        <f t="shared" si="11"/>
        <v>2500</v>
      </c>
      <c r="K29" s="443">
        <f t="shared" si="11"/>
        <v>2500</v>
      </c>
      <c r="L29" s="443">
        <f t="shared" si="11"/>
        <v>2500</v>
      </c>
      <c r="M29" s="443">
        <f t="shared" si="11"/>
        <v>2500</v>
      </c>
      <c r="N29" s="443">
        <f t="shared" si="11"/>
        <v>2500</v>
      </c>
      <c r="O29" s="443">
        <f t="shared" si="11"/>
        <v>2500</v>
      </c>
      <c r="P29" s="449">
        <f t="shared" si="9"/>
        <v>30000</v>
      </c>
    </row>
    <row r="30" spans="1:17" ht="24" thickBot="1" x14ac:dyDescent="0.4">
      <c r="A30" s="16" t="s">
        <v>29</v>
      </c>
      <c r="B30" s="16"/>
      <c r="C30" s="16"/>
      <c r="D30" s="443">
        <v>500</v>
      </c>
      <c r="E30" s="443">
        <f t="shared" si="11"/>
        <v>500</v>
      </c>
      <c r="F30" s="443">
        <f t="shared" si="11"/>
        <v>500</v>
      </c>
      <c r="G30" s="443">
        <f t="shared" si="11"/>
        <v>500</v>
      </c>
      <c r="H30" s="443">
        <f t="shared" si="11"/>
        <v>500</v>
      </c>
      <c r="I30" s="443">
        <f t="shared" si="11"/>
        <v>500</v>
      </c>
      <c r="J30" s="443">
        <f t="shared" si="11"/>
        <v>500</v>
      </c>
      <c r="K30" s="443">
        <f t="shared" si="11"/>
        <v>500</v>
      </c>
      <c r="L30" s="443">
        <f t="shared" si="11"/>
        <v>500</v>
      </c>
      <c r="M30" s="443">
        <f t="shared" si="11"/>
        <v>500</v>
      </c>
      <c r="N30" s="443">
        <f t="shared" si="11"/>
        <v>500</v>
      </c>
      <c r="O30" s="443">
        <f t="shared" si="11"/>
        <v>500</v>
      </c>
      <c r="P30" s="449">
        <f t="shared" si="9"/>
        <v>6000</v>
      </c>
    </row>
    <row r="31" spans="1:17" ht="24" thickBot="1" x14ac:dyDescent="0.4">
      <c r="A31" s="16" t="s">
        <v>30</v>
      </c>
      <c r="B31" s="16"/>
      <c r="C31" s="16"/>
      <c r="D31" s="443">
        <v>1000</v>
      </c>
      <c r="E31" s="443">
        <v>1000</v>
      </c>
      <c r="F31" s="443">
        <v>1000</v>
      </c>
      <c r="G31" s="443">
        <v>1000</v>
      </c>
      <c r="H31" s="443">
        <v>1000</v>
      </c>
      <c r="I31" s="443">
        <v>1000</v>
      </c>
      <c r="J31" s="443">
        <v>1000</v>
      </c>
      <c r="K31" s="443">
        <v>1000</v>
      </c>
      <c r="L31" s="443">
        <v>1000</v>
      </c>
      <c r="M31" s="443">
        <v>1000</v>
      </c>
      <c r="N31" s="443">
        <v>1000</v>
      </c>
      <c r="O31" s="443">
        <v>1000</v>
      </c>
      <c r="P31" s="449">
        <f t="shared" si="9"/>
        <v>12000</v>
      </c>
    </row>
    <row r="32" spans="1:17" ht="24" thickBot="1" x14ac:dyDescent="0.4">
      <c r="A32" s="16" t="s">
        <v>183</v>
      </c>
      <c r="B32" s="16"/>
      <c r="C32" s="16"/>
      <c r="D32" s="443">
        <v>8000</v>
      </c>
      <c r="E32" s="443">
        <v>8000</v>
      </c>
      <c r="F32" s="443">
        <v>8000</v>
      </c>
      <c r="G32" s="443">
        <v>8000</v>
      </c>
      <c r="H32" s="443">
        <v>8000</v>
      </c>
      <c r="I32" s="443">
        <v>8000</v>
      </c>
      <c r="J32" s="443">
        <v>8000</v>
      </c>
      <c r="K32" s="443">
        <v>8000</v>
      </c>
      <c r="L32" s="443">
        <v>8000</v>
      </c>
      <c r="M32" s="443">
        <v>8000</v>
      </c>
      <c r="N32" s="443">
        <v>8000</v>
      </c>
      <c r="O32" s="443">
        <v>8000</v>
      </c>
      <c r="P32" s="449">
        <f t="shared" si="9"/>
        <v>96000</v>
      </c>
    </row>
    <row r="33" spans="1:16" ht="24" thickBot="1" x14ac:dyDescent="0.4">
      <c r="A33" s="16" t="s">
        <v>32</v>
      </c>
      <c r="B33" s="16"/>
      <c r="C33" s="16"/>
      <c r="D33" s="443">
        <f>15*30</f>
        <v>450</v>
      </c>
      <c r="E33" s="443">
        <f t="shared" ref="E33:I33" si="12">15*30</f>
        <v>450</v>
      </c>
      <c r="F33" s="443">
        <f t="shared" si="12"/>
        <v>450</v>
      </c>
      <c r="G33" s="443">
        <f t="shared" si="12"/>
        <v>450</v>
      </c>
      <c r="H33" s="443">
        <f>15*30</f>
        <v>450</v>
      </c>
      <c r="I33" s="443">
        <f t="shared" si="12"/>
        <v>450</v>
      </c>
      <c r="J33" s="443">
        <f>15*30</f>
        <v>450</v>
      </c>
      <c r="K33" s="443">
        <f>15*30</f>
        <v>450</v>
      </c>
      <c r="L33" s="443">
        <f t="shared" ref="L33" si="13">15*30</f>
        <v>450</v>
      </c>
      <c r="M33" s="443">
        <f>15*30</f>
        <v>450</v>
      </c>
      <c r="N33" s="443">
        <f t="shared" ref="N33:O33" si="14">15*30</f>
        <v>450</v>
      </c>
      <c r="O33" s="443">
        <f t="shared" si="14"/>
        <v>450</v>
      </c>
      <c r="P33" s="449">
        <f t="shared" si="9"/>
        <v>5400</v>
      </c>
    </row>
    <row r="34" spans="1:16" ht="24" thickBot="1" x14ac:dyDescent="0.4">
      <c r="A34" s="16" t="s">
        <v>33</v>
      </c>
      <c r="B34" s="16"/>
      <c r="C34" s="16"/>
      <c r="D34" s="443">
        <v>1000</v>
      </c>
      <c r="E34" s="443">
        <f t="shared" si="11"/>
        <v>1000</v>
      </c>
      <c r="F34" s="443">
        <f t="shared" si="11"/>
        <v>1000</v>
      </c>
      <c r="G34" s="443">
        <f t="shared" si="11"/>
        <v>1000</v>
      </c>
      <c r="H34" s="443">
        <f t="shared" si="11"/>
        <v>1000</v>
      </c>
      <c r="I34" s="443">
        <f t="shared" si="11"/>
        <v>1000</v>
      </c>
      <c r="J34" s="443">
        <f t="shared" si="11"/>
        <v>1000</v>
      </c>
      <c r="K34" s="443">
        <f t="shared" si="11"/>
        <v>1000</v>
      </c>
      <c r="L34" s="443">
        <f t="shared" si="11"/>
        <v>1000</v>
      </c>
      <c r="M34" s="443">
        <f t="shared" si="11"/>
        <v>1000</v>
      </c>
      <c r="N34" s="443">
        <f t="shared" si="11"/>
        <v>1000</v>
      </c>
      <c r="O34" s="443">
        <f t="shared" si="11"/>
        <v>1000</v>
      </c>
      <c r="P34" s="449">
        <f t="shared" si="9"/>
        <v>12000</v>
      </c>
    </row>
    <row r="35" spans="1:16" ht="24" thickBot="1" x14ac:dyDescent="0.4">
      <c r="A35" s="16" t="s">
        <v>34</v>
      </c>
      <c r="B35" s="16"/>
      <c r="C35" s="16"/>
      <c r="D35" s="443">
        <v>3000</v>
      </c>
      <c r="E35" s="443">
        <v>3000</v>
      </c>
      <c r="F35" s="443">
        <v>3000</v>
      </c>
      <c r="G35" s="443">
        <v>3000</v>
      </c>
      <c r="H35" s="443">
        <v>3000</v>
      </c>
      <c r="I35" s="443">
        <v>3000</v>
      </c>
      <c r="J35" s="443">
        <v>3000</v>
      </c>
      <c r="K35" s="443">
        <v>3000</v>
      </c>
      <c r="L35" s="443">
        <v>3000</v>
      </c>
      <c r="M35" s="443">
        <v>3000</v>
      </c>
      <c r="N35" s="443">
        <v>3000</v>
      </c>
      <c r="O35" s="443">
        <v>3000</v>
      </c>
      <c r="P35" s="449">
        <f t="shared" si="9"/>
        <v>36000</v>
      </c>
    </row>
    <row r="36" spans="1:16" ht="24" thickBot="1" x14ac:dyDescent="0.4">
      <c r="A36" s="16" t="s">
        <v>35</v>
      </c>
      <c r="B36" s="16"/>
      <c r="C36" s="16"/>
      <c r="D36" s="443">
        <f>24000/12</f>
        <v>2000</v>
      </c>
      <c r="E36" s="443">
        <f t="shared" ref="E36:O36" si="15">24000/12</f>
        <v>2000</v>
      </c>
      <c r="F36" s="443">
        <f t="shared" si="15"/>
        <v>2000</v>
      </c>
      <c r="G36" s="443">
        <f t="shared" si="15"/>
        <v>2000</v>
      </c>
      <c r="H36" s="443">
        <f t="shared" si="15"/>
        <v>2000</v>
      </c>
      <c r="I36" s="443">
        <f t="shared" si="15"/>
        <v>2000</v>
      </c>
      <c r="J36" s="443">
        <f t="shared" si="15"/>
        <v>2000</v>
      </c>
      <c r="K36" s="443">
        <f t="shared" si="15"/>
        <v>2000</v>
      </c>
      <c r="L36" s="443">
        <f t="shared" si="15"/>
        <v>2000</v>
      </c>
      <c r="M36" s="443">
        <f t="shared" si="15"/>
        <v>2000</v>
      </c>
      <c r="N36" s="443">
        <f t="shared" si="15"/>
        <v>2000</v>
      </c>
      <c r="O36" s="443">
        <f t="shared" si="15"/>
        <v>2000</v>
      </c>
      <c r="P36" s="449">
        <f t="shared" si="9"/>
        <v>24000</v>
      </c>
    </row>
    <row r="37" spans="1:16" ht="24" thickBot="1" x14ac:dyDescent="0.4">
      <c r="A37" s="16" t="s">
        <v>158</v>
      </c>
      <c r="B37" s="16"/>
      <c r="C37" s="16"/>
      <c r="D37" s="443">
        <f>50000*(2/12)</f>
        <v>8333.3333333333321</v>
      </c>
      <c r="E37" s="443">
        <f t="shared" ref="E37:O37" si="16">50000*(2/12)</f>
        <v>8333.3333333333321</v>
      </c>
      <c r="F37" s="443">
        <f t="shared" si="16"/>
        <v>8333.3333333333321</v>
      </c>
      <c r="G37" s="443">
        <f t="shared" si="16"/>
        <v>8333.3333333333321</v>
      </c>
      <c r="H37" s="443">
        <f t="shared" si="16"/>
        <v>8333.3333333333321</v>
      </c>
      <c r="I37" s="443">
        <f t="shared" si="16"/>
        <v>8333.3333333333321</v>
      </c>
      <c r="J37" s="443">
        <f t="shared" si="16"/>
        <v>8333.3333333333321</v>
      </c>
      <c r="K37" s="443">
        <f t="shared" si="16"/>
        <v>8333.3333333333321</v>
      </c>
      <c r="L37" s="443">
        <f t="shared" si="16"/>
        <v>8333.3333333333321</v>
      </c>
      <c r="M37" s="443">
        <f t="shared" si="16"/>
        <v>8333.3333333333321</v>
      </c>
      <c r="N37" s="443">
        <f t="shared" si="16"/>
        <v>8333.3333333333321</v>
      </c>
      <c r="O37" s="443">
        <f t="shared" si="16"/>
        <v>8333.3333333333321</v>
      </c>
      <c r="P37" s="449">
        <f t="shared" si="9"/>
        <v>99999.999999999956</v>
      </c>
    </row>
    <row r="38" spans="1:16" ht="24" thickBot="1" x14ac:dyDescent="0.4">
      <c r="A38" s="16" t="s">
        <v>38</v>
      </c>
      <c r="B38" s="16"/>
      <c r="C38" s="16"/>
      <c r="D38" s="443">
        <v>1200</v>
      </c>
      <c r="E38" s="443">
        <v>1200</v>
      </c>
      <c r="F38" s="443">
        <v>1200</v>
      </c>
      <c r="G38" s="443">
        <v>1200</v>
      </c>
      <c r="H38" s="443">
        <v>1200</v>
      </c>
      <c r="I38" s="443">
        <v>1200</v>
      </c>
      <c r="J38" s="443">
        <v>1200</v>
      </c>
      <c r="K38" s="443">
        <v>1200</v>
      </c>
      <c r="L38" s="443">
        <v>1200</v>
      </c>
      <c r="M38" s="443">
        <v>1200</v>
      </c>
      <c r="N38" s="443">
        <v>1200</v>
      </c>
      <c r="O38" s="443">
        <v>1200</v>
      </c>
      <c r="P38" s="449">
        <f t="shared" si="9"/>
        <v>14400</v>
      </c>
    </row>
    <row r="39" spans="1:16" ht="24" thickBot="1" x14ac:dyDescent="0.4">
      <c r="A39" s="16" t="s">
        <v>39</v>
      </c>
      <c r="B39" s="16"/>
      <c r="C39" s="16"/>
      <c r="E39" s="443">
        <v>50000</v>
      </c>
      <c r="F39" s="443">
        <v>0</v>
      </c>
      <c r="G39" s="443">
        <v>0</v>
      </c>
      <c r="H39" s="443">
        <v>0</v>
      </c>
      <c r="I39" s="443">
        <v>0</v>
      </c>
      <c r="J39" s="443">
        <v>0</v>
      </c>
      <c r="K39" s="443">
        <v>0</v>
      </c>
      <c r="L39" s="443">
        <v>50000</v>
      </c>
      <c r="M39" s="443">
        <v>0</v>
      </c>
      <c r="N39" s="443">
        <v>0</v>
      </c>
      <c r="O39" s="443">
        <v>0</v>
      </c>
      <c r="P39" s="449">
        <f t="shared" si="9"/>
        <v>100000</v>
      </c>
    </row>
    <row r="40" spans="1:16" ht="24" thickBot="1" x14ac:dyDescent="0.4">
      <c r="A40" s="16" t="s">
        <v>40</v>
      </c>
      <c r="B40" s="16"/>
      <c r="C40" s="16"/>
      <c r="D40" s="443">
        <v>10000</v>
      </c>
      <c r="E40" s="443">
        <v>10000</v>
      </c>
      <c r="F40" s="443">
        <v>10000</v>
      </c>
      <c r="G40" s="443">
        <v>10000</v>
      </c>
      <c r="H40" s="443">
        <v>10000</v>
      </c>
      <c r="I40" s="443">
        <v>10000</v>
      </c>
      <c r="J40" s="443">
        <v>10000</v>
      </c>
      <c r="K40" s="443">
        <v>10000</v>
      </c>
      <c r="L40" s="443">
        <v>10000</v>
      </c>
      <c r="M40" s="443">
        <v>10000</v>
      </c>
      <c r="N40" s="443">
        <v>10000</v>
      </c>
      <c r="O40" s="443">
        <v>10000</v>
      </c>
      <c r="P40" s="449">
        <f t="shared" si="9"/>
        <v>120000</v>
      </c>
    </row>
    <row r="41" spans="1:16" ht="24" thickBot="1" x14ac:dyDescent="0.4">
      <c r="A41" s="16" t="s">
        <v>42</v>
      </c>
      <c r="B41" s="16"/>
      <c r="C41" s="16"/>
      <c r="D41" s="443">
        <f>(4*(50+50+10+10))/12*10</f>
        <v>400</v>
      </c>
      <c r="E41" s="443">
        <f t="shared" ref="E41:M41" si="17">(4*(50+50+10+10))/12*10</f>
        <v>400</v>
      </c>
      <c r="F41" s="443">
        <f t="shared" si="17"/>
        <v>400</v>
      </c>
      <c r="G41" s="443">
        <f t="shared" si="17"/>
        <v>400</v>
      </c>
      <c r="H41" s="443">
        <f>(4*(50+50+10+10))/12*10</f>
        <v>400</v>
      </c>
      <c r="I41" s="443">
        <f t="shared" si="17"/>
        <v>400</v>
      </c>
      <c r="J41" s="443">
        <f>(4*(50+50+10+10))/12*10</f>
        <v>400</v>
      </c>
      <c r="K41" s="443">
        <f t="shared" si="17"/>
        <v>400</v>
      </c>
      <c r="L41" s="443">
        <f>(4*(50+50+10+10))/12*10</f>
        <v>400</v>
      </c>
      <c r="M41" s="443">
        <f t="shared" si="17"/>
        <v>400</v>
      </c>
      <c r="N41" s="443">
        <f>(4*(50+50+10+10))/12*10</f>
        <v>400</v>
      </c>
      <c r="O41" s="443">
        <f>(4*(50+50+10+10))/12*10</f>
        <v>400</v>
      </c>
      <c r="P41" s="449">
        <f t="shared" si="9"/>
        <v>4800</v>
      </c>
    </row>
    <row r="42" spans="1:16" ht="24" thickBot="1" x14ac:dyDescent="0.4">
      <c r="A42" s="16" t="s">
        <v>43</v>
      </c>
      <c r="B42" s="16"/>
      <c r="C42" s="16"/>
      <c r="D42" s="443">
        <v>2000</v>
      </c>
      <c r="E42" s="443">
        <v>2000</v>
      </c>
      <c r="F42" s="443">
        <v>2000</v>
      </c>
      <c r="G42" s="443">
        <v>2000</v>
      </c>
      <c r="H42" s="443">
        <v>2000</v>
      </c>
      <c r="I42" s="443">
        <v>2000</v>
      </c>
      <c r="J42" s="443">
        <v>2000</v>
      </c>
      <c r="K42" s="443">
        <v>2000</v>
      </c>
      <c r="L42" s="443">
        <v>2000</v>
      </c>
      <c r="M42" s="443">
        <v>2000</v>
      </c>
      <c r="N42" s="443">
        <v>2000</v>
      </c>
      <c r="O42" s="443">
        <v>2000</v>
      </c>
      <c r="P42" s="449">
        <f t="shared" si="9"/>
        <v>24000</v>
      </c>
    </row>
    <row r="43" spans="1:16" ht="24" thickBot="1" x14ac:dyDescent="0.4">
      <c r="A43" s="16" t="s">
        <v>45</v>
      </c>
      <c r="B43" s="16"/>
      <c r="C43" s="16"/>
      <c r="D43" s="443">
        <v>2500</v>
      </c>
      <c r="E43" s="443">
        <v>2500</v>
      </c>
      <c r="F43" s="443">
        <v>2500</v>
      </c>
      <c r="G43" s="443">
        <v>2500</v>
      </c>
      <c r="H43" s="443">
        <v>2500</v>
      </c>
      <c r="I43" s="443">
        <v>2500</v>
      </c>
      <c r="J43" s="443">
        <v>2500</v>
      </c>
      <c r="K43" s="443">
        <v>2500</v>
      </c>
      <c r="L43" s="443">
        <v>2500</v>
      </c>
      <c r="M43" s="443">
        <v>2500</v>
      </c>
      <c r="N43" s="443">
        <v>2500</v>
      </c>
      <c r="O43" s="443">
        <v>2500</v>
      </c>
      <c r="P43" s="449">
        <f t="shared" si="9"/>
        <v>30000</v>
      </c>
    </row>
    <row r="44" spans="1:16" ht="24" thickBot="1" x14ac:dyDescent="0.4">
      <c r="A44" s="16" t="s">
        <v>46</v>
      </c>
      <c r="B44" s="16"/>
      <c r="C44" s="16"/>
      <c r="D44" s="443">
        <v>2500</v>
      </c>
      <c r="E44" s="443">
        <v>2500</v>
      </c>
      <c r="F44" s="443">
        <v>2500</v>
      </c>
      <c r="G44" s="443">
        <v>2500</v>
      </c>
      <c r="H44" s="443">
        <v>2500</v>
      </c>
      <c r="I44" s="443">
        <v>2500</v>
      </c>
      <c r="J44" s="443">
        <v>2500</v>
      </c>
      <c r="K44" s="443">
        <v>2500</v>
      </c>
      <c r="L44" s="443">
        <v>2500</v>
      </c>
      <c r="M44" s="443">
        <v>2500</v>
      </c>
      <c r="N44" s="443">
        <v>2500</v>
      </c>
      <c r="O44" s="443">
        <v>2500</v>
      </c>
      <c r="P44" s="449">
        <f t="shared" si="9"/>
        <v>30000</v>
      </c>
    </row>
    <row r="45" spans="1:16" ht="24" thickBot="1" x14ac:dyDescent="0.4">
      <c r="A45" s="16" t="s">
        <v>48</v>
      </c>
      <c r="B45" s="16"/>
      <c r="C45" s="16"/>
      <c r="D45" s="443">
        <v>2500</v>
      </c>
      <c r="E45" s="443">
        <v>2500</v>
      </c>
      <c r="F45" s="443">
        <v>2500</v>
      </c>
      <c r="G45" s="443">
        <v>2500</v>
      </c>
      <c r="H45" s="443">
        <v>2500</v>
      </c>
      <c r="I45" s="443">
        <v>2500</v>
      </c>
      <c r="J45" s="443">
        <v>2500</v>
      </c>
      <c r="K45" s="443">
        <v>2500</v>
      </c>
      <c r="L45" s="443">
        <v>2500</v>
      </c>
      <c r="M45" s="443">
        <v>2500</v>
      </c>
      <c r="N45" s="443">
        <v>2500</v>
      </c>
      <c r="O45" s="443">
        <v>2500</v>
      </c>
      <c r="P45" s="449">
        <f t="shared" si="9"/>
        <v>30000</v>
      </c>
    </row>
    <row r="46" spans="1:16" s="456" customFormat="1" ht="24" thickBot="1" x14ac:dyDescent="0.4">
      <c r="A46" s="433" t="s">
        <v>52</v>
      </c>
      <c r="B46" s="433"/>
      <c r="C46" s="433"/>
      <c r="D46" s="454">
        <f t="shared" ref="D46:O46" si="18">SUM(D19:D45)</f>
        <v>1162883.3333333333</v>
      </c>
      <c r="E46" s="454">
        <f t="shared" si="18"/>
        <v>1784619.5833333333</v>
      </c>
      <c r="F46" s="454">
        <f t="shared" si="18"/>
        <v>1386355.8333333333</v>
      </c>
      <c r="G46" s="454">
        <f t="shared" si="18"/>
        <v>1689828.3333333333</v>
      </c>
      <c r="H46" s="454">
        <f t="shared" si="18"/>
        <v>1841564.5833333333</v>
      </c>
      <c r="I46" s="454">
        <f t="shared" si="18"/>
        <v>2145037.0833333335</v>
      </c>
      <c r="J46" s="454">
        <f t="shared" si="18"/>
        <v>2600245.8333333335</v>
      </c>
      <c r="K46" s="454">
        <f t="shared" si="18"/>
        <v>3207190.8333333335</v>
      </c>
      <c r="L46" s="454">
        <f t="shared" si="18"/>
        <v>3864135.833333333</v>
      </c>
      <c r="M46" s="454">
        <f t="shared" si="18"/>
        <v>3814135.833333333</v>
      </c>
      <c r="N46" s="454">
        <f t="shared" si="18"/>
        <v>4269344.583333333</v>
      </c>
      <c r="O46" s="454">
        <f t="shared" si="18"/>
        <v>582883.33333333337</v>
      </c>
      <c r="P46" s="455">
        <f>SUM(D46:O46)</f>
        <v>28348224.999999996</v>
      </c>
    </row>
    <row r="47" spans="1:16" s="456" customFormat="1" ht="18.5" thickBot="1" x14ac:dyDescent="0.4">
      <c r="A47" s="434"/>
      <c r="B47" s="434"/>
      <c r="C47" s="434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8"/>
    </row>
    <row r="48" spans="1:16" s="456" customFormat="1" ht="24" thickBot="1" x14ac:dyDescent="0.4">
      <c r="A48" s="435" t="s">
        <v>146</v>
      </c>
      <c r="B48" s="435"/>
      <c r="C48" s="435"/>
      <c r="D48" s="436">
        <f t="shared" ref="D48:O48" si="19">D18-D46</f>
        <v>-1162883.3333333333</v>
      </c>
      <c r="E48" s="436">
        <f t="shared" si="19"/>
        <v>-752619.58333333326</v>
      </c>
      <c r="F48" s="436">
        <f t="shared" si="19"/>
        <v>677644.16666666674</v>
      </c>
      <c r="G48" s="436">
        <f t="shared" si="19"/>
        <v>2438171.666666667</v>
      </c>
      <c r="H48" s="436">
        <f t="shared" si="19"/>
        <v>3318435.416666667</v>
      </c>
      <c r="I48" s="436">
        <f t="shared" si="19"/>
        <v>5078962.9166666679</v>
      </c>
      <c r="J48" s="436">
        <f t="shared" si="19"/>
        <v>7719754.166666666</v>
      </c>
      <c r="K48" s="436">
        <f t="shared" si="19"/>
        <v>11240809.166666668</v>
      </c>
      <c r="L48" s="436">
        <f t="shared" si="19"/>
        <v>14711864.166666668</v>
      </c>
      <c r="M48" s="436">
        <f t="shared" si="19"/>
        <v>14761864.166666668</v>
      </c>
      <c r="N48" s="436">
        <f t="shared" si="19"/>
        <v>17402655.416666668</v>
      </c>
      <c r="O48" s="436">
        <f t="shared" si="19"/>
        <v>-582883.33333333337</v>
      </c>
      <c r="P48" s="455">
        <f>SUM(D48:O48)</f>
        <v>74851775.000000015</v>
      </c>
    </row>
    <row r="49" spans="1:17" s="456" customFormat="1" ht="15" thickTop="1" x14ac:dyDescent="0.35"/>
    <row r="50" spans="1:17" s="456" customFormat="1" x14ac:dyDescent="0.35"/>
    <row r="51" spans="1:17" s="456" customFormat="1" ht="18.5" thickBot="1" x14ac:dyDescent="0.4">
      <c r="A51" s="435" t="s">
        <v>168</v>
      </c>
      <c r="B51" s="435"/>
      <c r="C51" s="435"/>
      <c r="D51" s="437">
        <v>0</v>
      </c>
      <c r="E51" s="437">
        <f t="shared" ref="E51:O51" si="20">E18</f>
        <v>1032000</v>
      </c>
      <c r="F51" s="437">
        <f t="shared" si="20"/>
        <v>2064000</v>
      </c>
      <c r="G51" s="437">
        <f t="shared" si="20"/>
        <v>4128000</v>
      </c>
      <c r="H51" s="437">
        <f t="shared" si="20"/>
        <v>5160000</v>
      </c>
      <c r="I51" s="437">
        <f t="shared" si="20"/>
        <v>7224000.0000000009</v>
      </c>
      <c r="J51" s="437">
        <f t="shared" si="20"/>
        <v>10320000</v>
      </c>
      <c r="K51" s="437">
        <f t="shared" si="20"/>
        <v>14448000.000000002</v>
      </c>
      <c r="L51" s="437">
        <f t="shared" si="20"/>
        <v>18576000</v>
      </c>
      <c r="M51" s="437">
        <f t="shared" si="20"/>
        <v>18576000</v>
      </c>
      <c r="N51" s="437">
        <f t="shared" si="20"/>
        <v>21672000</v>
      </c>
      <c r="O51" s="437">
        <f t="shared" si="20"/>
        <v>0</v>
      </c>
      <c r="P51" s="459"/>
    </row>
    <row r="52" spans="1:17" s="456" customFormat="1" ht="15" thickTop="1" x14ac:dyDescent="0.35">
      <c r="D52" s="459"/>
      <c r="E52" s="459"/>
      <c r="F52" s="459"/>
      <c r="G52" s="459"/>
      <c r="H52" s="459"/>
      <c r="I52" s="459"/>
      <c r="J52" s="459"/>
      <c r="K52" s="459"/>
      <c r="L52" s="459"/>
      <c r="M52" s="459"/>
      <c r="N52" s="459"/>
      <c r="O52" s="459"/>
      <c r="P52" s="459"/>
      <c r="Q52" s="460"/>
    </row>
    <row r="53" spans="1:17" s="456" customFormat="1" ht="18.5" thickBot="1" x14ac:dyDescent="0.4">
      <c r="A53" s="435" t="s">
        <v>162</v>
      </c>
      <c r="B53" s="435"/>
      <c r="C53" s="435"/>
      <c r="D53" s="437">
        <f>D51+D48</f>
        <v>-1162883.3333333333</v>
      </c>
      <c r="E53" s="437">
        <f>D53+E51-E46</f>
        <v>-1915502.9166666665</v>
      </c>
      <c r="F53" s="437">
        <f t="shared" ref="F53:O53" si="21">E53+F51-F46</f>
        <v>-1237858.7499999998</v>
      </c>
      <c r="G53" s="437">
        <f>F53+G51-G46</f>
        <v>1200312.9166666667</v>
      </c>
      <c r="H53" s="437">
        <f t="shared" si="21"/>
        <v>4518748.333333334</v>
      </c>
      <c r="I53" s="437">
        <f t="shared" si="21"/>
        <v>9597711.2500000019</v>
      </c>
      <c r="J53" s="437">
        <f t="shared" si="21"/>
        <v>17317465.416666668</v>
      </c>
      <c r="K53" s="437">
        <f t="shared" si="21"/>
        <v>28558274.58333334</v>
      </c>
      <c r="L53" s="437">
        <f t="shared" si="21"/>
        <v>43270138.750000007</v>
      </c>
      <c r="M53" s="437">
        <f t="shared" si="21"/>
        <v>58032002.916666672</v>
      </c>
      <c r="N53" s="437">
        <f t="shared" si="21"/>
        <v>75434658.333333343</v>
      </c>
      <c r="O53" s="437">
        <f t="shared" si="21"/>
        <v>74851775.000000015</v>
      </c>
      <c r="P53" s="459"/>
      <c r="Q53" s="460"/>
    </row>
    <row r="54" spans="1:17" ht="15" thickTop="1" x14ac:dyDescent="0.35"/>
    <row r="56" spans="1:17" x14ac:dyDescent="0.35">
      <c r="E56" s="446"/>
    </row>
    <row r="57" spans="1:17" x14ac:dyDescent="0.35">
      <c r="E57" s="446"/>
    </row>
  </sheetData>
  <pageMargins left="0.7" right="0.7" top="0.75" bottom="0.75" header="0.3" footer="0.3"/>
  <pageSetup scale="30" orientation="portrait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8530A-0440-4C6B-BF96-88D5FB1DB9C7}">
  <dimension ref="A3:Q57"/>
  <sheetViews>
    <sheetView showGridLines="0" view="pageBreakPreview" topLeftCell="A4" zoomScale="60" zoomScaleNormal="60" workbookViewId="0">
      <pane xSplit="3" ySplit="1" topLeftCell="D11" activePane="bottomRight" state="frozen"/>
      <selection activeCell="A4" sqref="A4"/>
      <selection pane="topRight" activeCell="C4" sqref="C4"/>
      <selection pane="bottomLeft" activeCell="A5" sqref="A5"/>
      <selection pane="bottomRight" activeCell="P26" sqref="P26"/>
    </sheetView>
  </sheetViews>
  <sheetFormatPr defaultRowHeight="14.5" x14ac:dyDescent="0.35"/>
  <cols>
    <col min="1" max="1" width="41.26953125" style="228" bestFit="1" customWidth="1"/>
    <col min="2" max="2" width="6.453125" style="228" customWidth="1"/>
    <col min="3" max="3" width="14.36328125" style="228" bestFit="1" customWidth="1"/>
    <col min="4" max="4" width="12.08984375" style="228" bestFit="1" customWidth="1"/>
    <col min="5" max="8" width="14.36328125" style="228" bestFit="1" customWidth="1"/>
    <col min="9" max="9" width="15" style="228" bestFit="1" customWidth="1"/>
    <col min="10" max="14" width="15.81640625" style="228" bestFit="1" customWidth="1"/>
    <col min="15" max="15" width="15" style="228" bestFit="1" customWidth="1"/>
    <col min="16" max="16" width="20.26953125" style="228" bestFit="1" customWidth="1"/>
    <col min="17" max="17" width="13.08984375" style="228" bestFit="1" customWidth="1"/>
    <col min="18" max="16384" width="8.7265625" style="228"/>
  </cols>
  <sheetData>
    <row r="3" spans="1:17" ht="15" thickBot="1" x14ac:dyDescent="0.4"/>
    <row r="4" spans="1:17" ht="21" x14ac:dyDescent="0.35">
      <c r="A4" s="12"/>
      <c r="B4" s="12"/>
      <c r="C4" s="12"/>
      <c r="D4" s="440">
        <v>45505</v>
      </c>
      <c r="E4" s="440">
        <v>45536</v>
      </c>
      <c r="F4" s="440">
        <v>45566</v>
      </c>
      <c r="G4" s="440">
        <v>45597</v>
      </c>
      <c r="H4" s="440">
        <v>45627</v>
      </c>
      <c r="I4" s="440">
        <v>45658</v>
      </c>
      <c r="J4" s="440">
        <v>45689</v>
      </c>
      <c r="K4" s="440">
        <v>45717</v>
      </c>
      <c r="L4" s="440">
        <v>45748</v>
      </c>
      <c r="M4" s="440">
        <v>45778</v>
      </c>
      <c r="N4" s="440">
        <v>45809</v>
      </c>
      <c r="O4" s="440">
        <v>45839</v>
      </c>
      <c r="P4" s="441" t="s">
        <v>148</v>
      </c>
    </row>
    <row r="5" spans="1:17" ht="18" x14ac:dyDescent="0.3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42"/>
    </row>
    <row r="6" spans="1:17" ht="19" thickBot="1" x14ac:dyDescent="0.4">
      <c r="A6" s="1" t="s">
        <v>1</v>
      </c>
      <c r="B6" s="432" t="s">
        <v>177</v>
      </c>
      <c r="C6" s="111" t="s">
        <v>186</v>
      </c>
      <c r="D6" s="443"/>
      <c r="E6" s="444"/>
      <c r="F6" s="444"/>
      <c r="G6" s="480"/>
      <c r="H6" s="444"/>
      <c r="I6" s="444"/>
      <c r="J6" s="444"/>
      <c r="K6" s="444"/>
      <c r="L6" s="444"/>
      <c r="M6" s="444"/>
      <c r="N6" s="444"/>
      <c r="O6" s="443"/>
      <c r="P6" s="442"/>
    </row>
    <row r="7" spans="1:17" s="446" customFormat="1" ht="19" thickBot="1" x14ac:dyDescent="0.4">
      <c r="A7" s="476" t="s">
        <v>184</v>
      </c>
      <c r="B7" s="477">
        <v>0.02</v>
      </c>
      <c r="C7" s="478"/>
      <c r="D7" s="445">
        <v>0</v>
      </c>
      <c r="E7" s="445">
        <v>0.05</v>
      </c>
      <c r="F7" s="445">
        <v>0.1</v>
      </c>
      <c r="G7" s="445">
        <v>0.1</v>
      </c>
      <c r="H7" s="445">
        <v>0</v>
      </c>
      <c r="I7" s="445">
        <v>0</v>
      </c>
      <c r="J7" s="445">
        <v>0.2</v>
      </c>
      <c r="K7" s="445">
        <v>0.25</v>
      </c>
      <c r="L7" s="445">
        <v>0.3</v>
      </c>
      <c r="M7" s="445">
        <v>0</v>
      </c>
      <c r="N7" s="445">
        <v>0</v>
      </c>
      <c r="O7" s="445">
        <v>0</v>
      </c>
      <c r="P7" s="479">
        <f>SUM(D7:O7)</f>
        <v>1</v>
      </c>
    </row>
    <row r="8" spans="1:17" ht="18.5" x14ac:dyDescent="0.35">
      <c r="A8" s="467" t="s">
        <v>180</v>
      </c>
      <c r="B8" s="468">
        <f>B7*0.25</f>
        <v>5.0000000000000001E-3</v>
      </c>
      <c r="C8" s="469">
        <v>40</v>
      </c>
      <c r="D8" s="463">
        <f t="shared" ref="D8:O10" si="0">$B8*D$7*$C$17</f>
        <v>0</v>
      </c>
      <c r="E8" s="464">
        <f>$B8*E$7*$C$17</f>
        <v>150</v>
      </c>
      <c r="F8" s="464">
        <f t="shared" si="0"/>
        <v>300</v>
      </c>
      <c r="G8" s="464">
        <f t="shared" si="0"/>
        <v>300</v>
      </c>
      <c r="H8" s="463">
        <f t="shared" si="0"/>
        <v>0</v>
      </c>
      <c r="I8" s="463">
        <f t="shared" si="0"/>
        <v>0</v>
      </c>
      <c r="J8" s="481">
        <f t="shared" si="0"/>
        <v>600</v>
      </c>
      <c r="K8" s="481">
        <f t="shared" si="0"/>
        <v>750</v>
      </c>
      <c r="L8" s="481">
        <f t="shared" si="0"/>
        <v>900</v>
      </c>
      <c r="M8" s="463">
        <f t="shared" si="0"/>
        <v>0</v>
      </c>
      <c r="N8" s="463">
        <f t="shared" si="0"/>
        <v>0</v>
      </c>
      <c r="O8" s="463">
        <f t="shared" si="0"/>
        <v>0</v>
      </c>
      <c r="P8" s="447"/>
      <c r="Q8" s="448"/>
    </row>
    <row r="9" spans="1:17" ht="18.5" x14ac:dyDescent="0.35">
      <c r="A9" s="470" t="s">
        <v>181</v>
      </c>
      <c r="B9" s="471">
        <f>B7*0.5</f>
        <v>0.01</v>
      </c>
      <c r="C9" s="472">
        <v>40</v>
      </c>
      <c r="D9" s="463">
        <f t="shared" si="0"/>
        <v>0</v>
      </c>
      <c r="E9" s="464">
        <f t="shared" si="0"/>
        <v>300</v>
      </c>
      <c r="F9" s="464">
        <f t="shared" si="0"/>
        <v>600</v>
      </c>
      <c r="G9" s="464">
        <f t="shared" si="0"/>
        <v>600</v>
      </c>
      <c r="H9" s="463">
        <f t="shared" si="0"/>
        <v>0</v>
      </c>
      <c r="I9" s="463">
        <f t="shared" si="0"/>
        <v>0</v>
      </c>
      <c r="J9" s="481">
        <f t="shared" si="0"/>
        <v>1200</v>
      </c>
      <c r="K9" s="481">
        <f t="shared" si="0"/>
        <v>1500</v>
      </c>
      <c r="L9" s="481">
        <f t="shared" si="0"/>
        <v>1800</v>
      </c>
      <c r="M9" s="463">
        <f t="shared" si="0"/>
        <v>0</v>
      </c>
      <c r="N9" s="463">
        <f t="shared" si="0"/>
        <v>0</v>
      </c>
      <c r="O9" s="463">
        <f t="shared" si="0"/>
        <v>0</v>
      </c>
      <c r="P9" s="447"/>
      <c r="Q9" s="448"/>
    </row>
    <row r="10" spans="1:17" ht="19" thickBot="1" x14ac:dyDescent="0.4">
      <c r="A10" s="473" t="s">
        <v>182</v>
      </c>
      <c r="B10" s="474">
        <f>B7*0.25</f>
        <v>5.0000000000000001E-3</v>
      </c>
      <c r="C10" s="475">
        <v>40</v>
      </c>
      <c r="D10" s="463">
        <f t="shared" si="0"/>
        <v>0</v>
      </c>
      <c r="E10" s="464">
        <f t="shared" si="0"/>
        <v>150</v>
      </c>
      <c r="F10" s="464">
        <f t="shared" si="0"/>
        <v>300</v>
      </c>
      <c r="G10" s="464">
        <f t="shared" si="0"/>
        <v>300</v>
      </c>
      <c r="H10" s="463">
        <f t="shared" si="0"/>
        <v>0</v>
      </c>
      <c r="I10" s="463">
        <f t="shared" si="0"/>
        <v>0</v>
      </c>
      <c r="J10" s="481">
        <f t="shared" si="0"/>
        <v>600</v>
      </c>
      <c r="K10" s="481">
        <f t="shared" si="0"/>
        <v>750</v>
      </c>
      <c r="L10" s="481">
        <f t="shared" si="0"/>
        <v>900</v>
      </c>
      <c r="M10" s="463">
        <f t="shared" si="0"/>
        <v>0</v>
      </c>
      <c r="N10" s="463">
        <f t="shared" si="0"/>
        <v>0</v>
      </c>
      <c r="O10" s="463">
        <f t="shared" si="0"/>
        <v>0</v>
      </c>
      <c r="P10" s="447"/>
      <c r="Q10" s="448"/>
    </row>
    <row r="11" spans="1:17" ht="24" thickBot="1" x14ac:dyDescent="0.4">
      <c r="A11" s="4" t="s">
        <v>148</v>
      </c>
      <c r="B11" s="4"/>
      <c r="C11" s="4"/>
      <c r="D11" s="107">
        <f>SUM(D8:D10)</f>
        <v>0</v>
      </c>
      <c r="E11" s="107">
        <f>SUM(E8:E10)</f>
        <v>600</v>
      </c>
      <c r="F11" s="107">
        <f t="shared" ref="F11:O11" si="1">SUM(F8:F10)</f>
        <v>1200</v>
      </c>
      <c r="G11" s="107">
        <f t="shared" si="1"/>
        <v>1200</v>
      </c>
      <c r="H11" s="107">
        <f t="shared" si="1"/>
        <v>0</v>
      </c>
      <c r="I11" s="107">
        <f t="shared" si="1"/>
        <v>0</v>
      </c>
      <c r="J11" s="107">
        <f>SUM(J8:J10)</f>
        <v>2400</v>
      </c>
      <c r="K11" s="107">
        <f t="shared" si="1"/>
        <v>3000</v>
      </c>
      <c r="L11" s="107">
        <f t="shared" si="1"/>
        <v>3600</v>
      </c>
      <c r="M11" s="107">
        <f t="shared" si="1"/>
        <v>0</v>
      </c>
      <c r="N11" s="107">
        <f t="shared" si="1"/>
        <v>0</v>
      </c>
      <c r="O11" s="107">
        <f t="shared" si="1"/>
        <v>0</v>
      </c>
      <c r="P11" s="449">
        <f>SUM(D11:O11)</f>
        <v>12000</v>
      </c>
      <c r="Q11" s="450"/>
    </row>
    <row r="12" spans="1:17" ht="18" x14ac:dyDescent="0.35">
      <c r="A12" s="1" t="s">
        <v>4</v>
      </c>
      <c r="B12" s="5"/>
      <c r="C12" s="5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263"/>
      <c r="P12" s="442"/>
    </row>
    <row r="13" spans="1:17" ht="17.5" x14ac:dyDescent="0.35">
      <c r="A13" s="461" t="s">
        <v>8</v>
      </c>
      <c r="B13" s="461"/>
      <c r="C13" s="461"/>
      <c r="D13" s="462">
        <f t="shared" ref="D13:O15" si="2">D8*$C8</f>
        <v>0</v>
      </c>
      <c r="E13" s="462">
        <f>E8*$C8</f>
        <v>6000</v>
      </c>
      <c r="F13" s="462">
        <f t="shared" ref="F13:O13" si="3">F8*$C8</f>
        <v>12000</v>
      </c>
      <c r="G13" s="462">
        <f t="shared" si="3"/>
        <v>12000</v>
      </c>
      <c r="H13" s="462">
        <f t="shared" si="3"/>
        <v>0</v>
      </c>
      <c r="I13" s="462">
        <f t="shared" si="3"/>
        <v>0</v>
      </c>
      <c r="J13" s="462">
        <f t="shared" si="3"/>
        <v>24000</v>
      </c>
      <c r="K13" s="462">
        <f t="shared" si="3"/>
        <v>30000</v>
      </c>
      <c r="L13" s="462">
        <f t="shared" si="3"/>
        <v>36000</v>
      </c>
      <c r="M13" s="462">
        <f t="shared" si="3"/>
        <v>0</v>
      </c>
      <c r="N13" s="462">
        <f t="shared" si="3"/>
        <v>0</v>
      </c>
      <c r="O13" s="462">
        <f t="shared" si="3"/>
        <v>0</v>
      </c>
      <c r="P13" s="447"/>
    </row>
    <row r="14" spans="1:17" ht="17.5" x14ac:dyDescent="0.35">
      <c r="A14" s="461" t="s">
        <v>9</v>
      </c>
      <c r="B14" s="461"/>
      <c r="C14" s="461"/>
      <c r="D14" s="462">
        <f t="shared" si="2"/>
        <v>0</v>
      </c>
      <c r="E14" s="462">
        <f t="shared" si="2"/>
        <v>12000</v>
      </c>
      <c r="F14" s="462">
        <f t="shared" si="2"/>
        <v>24000</v>
      </c>
      <c r="G14" s="462">
        <f t="shared" si="2"/>
        <v>24000</v>
      </c>
      <c r="H14" s="462">
        <f t="shared" si="2"/>
        <v>0</v>
      </c>
      <c r="I14" s="462">
        <f t="shared" si="2"/>
        <v>0</v>
      </c>
      <c r="J14" s="462">
        <f t="shared" si="2"/>
        <v>48000</v>
      </c>
      <c r="K14" s="462">
        <f t="shared" si="2"/>
        <v>60000</v>
      </c>
      <c r="L14" s="462">
        <f t="shared" si="2"/>
        <v>72000</v>
      </c>
      <c r="M14" s="462">
        <f t="shared" si="2"/>
        <v>0</v>
      </c>
      <c r="N14" s="462">
        <f t="shared" si="2"/>
        <v>0</v>
      </c>
      <c r="O14" s="462">
        <f t="shared" si="2"/>
        <v>0</v>
      </c>
      <c r="P14" s="442"/>
    </row>
    <row r="15" spans="1:17" ht="18" thickBot="1" x14ac:dyDescent="0.4">
      <c r="A15" s="461" t="s">
        <v>10</v>
      </c>
      <c r="B15" s="461"/>
      <c r="C15" s="461"/>
      <c r="D15" s="462">
        <f t="shared" si="2"/>
        <v>0</v>
      </c>
      <c r="E15" s="462">
        <f t="shared" si="2"/>
        <v>6000</v>
      </c>
      <c r="F15" s="462">
        <f t="shared" si="2"/>
        <v>12000</v>
      </c>
      <c r="G15" s="462">
        <f t="shared" si="2"/>
        <v>12000</v>
      </c>
      <c r="H15" s="462">
        <f t="shared" si="2"/>
        <v>0</v>
      </c>
      <c r="I15" s="462">
        <f t="shared" si="2"/>
        <v>0</v>
      </c>
      <c r="J15" s="462">
        <f t="shared" si="2"/>
        <v>24000</v>
      </c>
      <c r="K15" s="462">
        <f t="shared" si="2"/>
        <v>30000</v>
      </c>
      <c r="L15" s="462">
        <f t="shared" si="2"/>
        <v>36000</v>
      </c>
      <c r="M15" s="462">
        <f t="shared" si="2"/>
        <v>0</v>
      </c>
      <c r="N15" s="462">
        <f t="shared" si="2"/>
        <v>0</v>
      </c>
      <c r="O15" s="462">
        <f t="shared" si="2"/>
        <v>0</v>
      </c>
      <c r="P15" s="442"/>
    </row>
    <row r="16" spans="1:17" ht="24" thickBot="1" x14ac:dyDescent="0.4">
      <c r="A16" s="117" t="s">
        <v>179</v>
      </c>
      <c r="B16" s="117"/>
      <c r="C16" s="117"/>
      <c r="D16" s="451">
        <f>SUM(D13:D15)</f>
        <v>0</v>
      </c>
      <c r="E16" s="451">
        <f>SUM(E13:E15)</f>
        <v>24000</v>
      </c>
      <c r="F16" s="451">
        <f t="shared" ref="F16:O16" si="4">SUM(F13:F15)</f>
        <v>48000</v>
      </c>
      <c r="G16" s="451">
        <f t="shared" si="4"/>
        <v>48000</v>
      </c>
      <c r="H16" s="451">
        <f t="shared" si="4"/>
        <v>0</v>
      </c>
      <c r="I16" s="451">
        <f>SUM(I13:I15)</f>
        <v>0</v>
      </c>
      <c r="J16" s="451">
        <f t="shared" si="4"/>
        <v>96000</v>
      </c>
      <c r="K16" s="451">
        <f t="shared" si="4"/>
        <v>120000</v>
      </c>
      <c r="L16" s="451">
        <f t="shared" si="4"/>
        <v>144000</v>
      </c>
      <c r="M16" s="451">
        <f t="shared" si="4"/>
        <v>0</v>
      </c>
      <c r="N16" s="451">
        <f t="shared" si="4"/>
        <v>0</v>
      </c>
      <c r="O16" s="451">
        <f t="shared" si="4"/>
        <v>0</v>
      </c>
      <c r="P16" s="449">
        <f>SUM(D16:O16)</f>
        <v>480000</v>
      </c>
    </row>
    <row r="17" spans="1:17" ht="18.5" thickBot="1" x14ac:dyDescent="0.4">
      <c r="A17" s="16" t="s">
        <v>178</v>
      </c>
      <c r="B17" s="408"/>
      <c r="C17" s="408">
        <v>600000</v>
      </c>
      <c r="D17" s="438">
        <f t="shared" ref="D17" si="5">D11/$C$17</f>
        <v>0</v>
      </c>
      <c r="E17" s="439">
        <f>E11/$C$17</f>
        <v>1E-3</v>
      </c>
      <c r="F17" s="439">
        <f t="shared" ref="F17:O17" si="6">F11/$C$17</f>
        <v>2E-3</v>
      </c>
      <c r="G17" s="439">
        <f t="shared" si="6"/>
        <v>2E-3</v>
      </c>
      <c r="H17" s="439">
        <f t="shared" si="6"/>
        <v>0</v>
      </c>
      <c r="I17" s="439">
        <f t="shared" si="6"/>
        <v>0</v>
      </c>
      <c r="J17" s="439">
        <f t="shared" si="6"/>
        <v>4.0000000000000001E-3</v>
      </c>
      <c r="K17" s="439">
        <f t="shared" si="6"/>
        <v>5.0000000000000001E-3</v>
      </c>
      <c r="L17" s="439">
        <f t="shared" si="6"/>
        <v>6.0000000000000001E-3</v>
      </c>
      <c r="M17" s="439">
        <f t="shared" si="6"/>
        <v>0</v>
      </c>
      <c r="N17" s="439">
        <f t="shared" si="6"/>
        <v>0</v>
      </c>
      <c r="O17" s="438">
        <f t="shared" si="6"/>
        <v>0</v>
      </c>
      <c r="P17" s="452">
        <f>P11/C17</f>
        <v>0.02</v>
      </c>
    </row>
    <row r="18" spans="1:17" ht="24" thickBot="1" x14ac:dyDescent="0.4">
      <c r="A18" s="45" t="s">
        <v>13</v>
      </c>
      <c r="B18" s="45"/>
      <c r="C18" s="45"/>
      <c r="D18" s="453">
        <f>SUM(D16:D17)</f>
        <v>0</v>
      </c>
      <c r="E18" s="453">
        <f t="shared" ref="E18:N18" si="7">E16</f>
        <v>24000</v>
      </c>
      <c r="F18" s="453">
        <f t="shared" si="7"/>
        <v>48000</v>
      </c>
      <c r="G18" s="453">
        <f t="shared" si="7"/>
        <v>48000</v>
      </c>
      <c r="H18" s="453">
        <f t="shared" si="7"/>
        <v>0</v>
      </c>
      <c r="I18" s="453">
        <f t="shared" si="7"/>
        <v>0</v>
      </c>
      <c r="J18" s="453">
        <f t="shared" si="7"/>
        <v>96000</v>
      </c>
      <c r="K18" s="453">
        <f t="shared" si="7"/>
        <v>120000</v>
      </c>
      <c r="L18" s="453">
        <f t="shared" si="7"/>
        <v>144000</v>
      </c>
      <c r="M18" s="453">
        <f t="shared" si="7"/>
        <v>0</v>
      </c>
      <c r="N18" s="453">
        <f t="shared" si="7"/>
        <v>0</v>
      </c>
      <c r="O18" s="453">
        <f>SUM(O16:O17)</f>
        <v>0</v>
      </c>
      <c r="P18" s="449">
        <f>SUM(D18:O18)</f>
        <v>480000</v>
      </c>
    </row>
    <row r="19" spans="1:17" x14ac:dyDescent="0.35"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442"/>
    </row>
    <row r="20" spans="1:17" ht="18.5" thickBot="1" x14ac:dyDescent="0.4">
      <c r="A20" s="7" t="s">
        <v>21</v>
      </c>
      <c r="B20" s="7"/>
      <c r="C20" s="7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442"/>
    </row>
    <row r="21" spans="1:17" ht="24" thickBot="1" x14ac:dyDescent="0.4">
      <c r="A21" s="16" t="s">
        <v>152</v>
      </c>
      <c r="B21" s="129"/>
      <c r="C21" s="129"/>
      <c r="D21" s="443">
        <v>9000</v>
      </c>
      <c r="E21" s="443">
        <f>D21</f>
        <v>9000</v>
      </c>
      <c r="F21" s="443">
        <f t="shared" ref="F21:O21" si="8">E21</f>
        <v>9000</v>
      </c>
      <c r="G21" s="443">
        <f t="shared" si="8"/>
        <v>9000</v>
      </c>
      <c r="H21" s="443">
        <f>G21</f>
        <v>9000</v>
      </c>
      <c r="I21" s="443">
        <f t="shared" si="8"/>
        <v>9000</v>
      </c>
      <c r="J21" s="443">
        <f t="shared" si="8"/>
        <v>9000</v>
      </c>
      <c r="K21" s="443">
        <f t="shared" si="8"/>
        <v>9000</v>
      </c>
      <c r="L21" s="443">
        <f t="shared" si="8"/>
        <v>9000</v>
      </c>
      <c r="M21" s="443">
        <f t="shared" si="8"/>
        <v>9000</v>
      </c>
      <c r="N21" s="443">
        <f t="shared" si="8"/>
        <v>9000</v>
      </c>
      <c r="O21" s="443">
        <f t="shared" si="8"/>
        <v>9000</v>
      </c>
      <c r="P21" s="449">
        <f t="shared" ref="P21:P44" si="9">SUM(D21:O21)</f>
        <v>108000</v>
      </c>
    </row>
    <row r="22" spans="1:17" ht="24" thickBot="1" x14ac:dyDescent="0.4">
      <c r="A22" s="16" t="s">
        <v>23</v>
      </c>
      <c r="B22" s="16"/>
      <c r="C22" s="16"/>
      <c r="D22" s="443">
        <v>750</v>
      </c>
      <c r="E22" s="443">
        <f t="shared" ref="E22:O22" si="10">D22</f>
        <v>750</v>
      </c>
      <c r="F22" s="443">
        <f t="shared" si="10"/>
        <v>750</v>
      </c>
      <c r="G22" s="443">
        <f t="shared" si="10"/>
        <v>750</v>
      </c>
      <c r="H22" s="443">
        <f t="shared" si="10"/>
        <v>750</v>
      </c>
      <c r="I22" s="443">
        <f t="shared" si="10"/>
        <v>750</v>
      </c>
      <c r="J22" s="443">
        <f t="shared" si="10"/>
        <v>750</v>
      </c>
      <c r="K22" s="443">
        <f t="shared" si="10"/>
        <v>750</v>
      </c>
      <c r="L22" s="443">
        <f t="shared" si="10"/>
        <v>750</v>
      </c>
      <c r="M22" s="443">
        <f t="shared" si="10"/>
        <v>750</v>
      </c>
      <c r="N22" s="443">
        <f t="shared" si="10"/>
        <v>750</v>
      </c>
      <c r="O22" s="443">
        <f t="shared" si="10"/>
        <v>750</v>
      </c>
      <c r="P22" s="449">
        <f t="shared" si="9"/>
        <v>9000</v>
      </c>
    </row>
    <row r="23" spans="1:17" ht="24" thickBot="1" x14ac:dyDescent="0.4">
      <c r="A23" s="16" t="s">
        <v>157</v>
      </c>
      <c r="B23" s="16"/>
      <c r="C23" s="16"/>
      <c r="D23" s="443">
        <v>0</v>
      </c>
      <c r="E23" s="443">
        <v>25000</v>
      </c>
      <c r="F23" s="443">
        <v>25000</v>
      </c>
      <c r="G23" s="443">
        <v>25000</v>
      </c>
      <c r="H23" s="443">
        <v>0</v>
      </c>
      <c r="I23" s="443">
        <v>0</v>
      </c>
      <c r="J23" s="443">
        <v>25000</v>
      </c>
      <c r="K23" s="443">
        <v>25000</v>
      </c>
      <c r="L23" s="443">
        <v>25000</v>
      </c>
      <c r="M23" s="443">
        <v>0</v>
      </c>
      <c r="N23" s="443">
        <v>0</v>
      </c>
      <c r="O23" s="443">
        <v>0</v>
      </c>
      <c r="P23" s="449">
        <f t="shared" si="9"/>
        <v>150000</v>
      </c>
      <c r="Q23" s="482">
        <f>P23/0.08</f>
        <v>1875000</v>
      </c>
    </row>
    <row r="24" spans="1:17" ht="24" thickBot="1" x14ac:dyDescent="0.4">
      <c r="A24" s="16" t="s">
        <v>185</v>
      </c>
      <c r="B24" s="16" t="s">
        <v>216</v>
      </c>
      <c r="C24" s="16"/>
      <c r="D24" s="443">
        <f>_xlfn.XLOOKUP($B$24,'250 calc'!$A$83:$A$85,'250 calc'!$D$83:$D$85,0)*D11</f>
        <v>0</v>
      </c>
      <c r="E24" s="443">
        <f>_xlfn.XLOOKUP($B$24,'250 calc'!$A$83:$A$85,'250 calc'!$D$83:$D$85,0)*E11</f>
        <v>2020.4249999999997</v>
      </c>
      <c r="F24" s="443">
        <f>_xlfn.XLOOKUP($B$24,'250 calc'!$A$83:$A$85,'250 calc'!$D$83:$D$85,0)*F11</f>
        <v>4040.8499999999995</v>
      </c>
      <c r="G24" s="443">
        <f>_xlfn.XLOOKUP($B$24,'250 calc'!$A$83:$A$85,'250 calc'!$D$83:$D$85,0)*G11</f>
        <v>4040.8499999999995</v>
      </c>
      <c r="H24" s="443">
        <f>_xlfn.XLOOKUP($B$24,'250 calc'!$A$83:$A$85,'250 calc'!$D$83:$D$85,0)*H11</f>
        <v>0</v>
      </c>
      <c r="I24" s="443">
        <f>_xlfn.XLOOKUP($B$24,'250 calc'!$A$83:$A$85,'250 calc'!$D$83:$D$85,0)*I11</f>
        <v>0</v>
      </c>
      <c r="J24" s="443">
        <f>_xlfn.XLOOKUP($B$24,'250 calc'!$A$83:$A$85,'250 calc'!$D$83:$D$85,0)*J11</f>
        <v>8081.6999999999989</v>
      </c>
      <c r="K24" s="443">
        <f>_xlfn.XLOOKUP($B$24,'250 calc'!$A$83:$A$85,'250 calc'!$D$83:$D$85,0)*K11</f>
        <v>10102.124999999998</v>
      </c>
      <c r="L24" s="443">
        <f>_xlfn.XLOOKUP($B$24,'250 calc'!$A$83:$A$85,'250 calc'!$D$83:$D$85,0)*L11</f>
        <v>12122.55</v>
      </c>
      <c r="M24" s="443">
        <f>_xlfn.XLOOKUP($B$24,'250 calc'!$A$83:$A$85,'250 calc'!$D$83:$D$85,0)*M11</f>
        <v>0</v>
      </c>
      <c r="N24" s="443">
        <f>_xlfn.XLOOKUP($B$24,'250 calc'!$A$83:$A$85,'250 calc'!$D$83:$D$85,0)*N11</f>
        <v>0</v>
      </c>
      <c r="O24" s="443">
        <f>_xlfn.XLOOKUP($B$24,'250 calc'!$A$83:$A$85,'250 calc'!$D$83:$D$85,0)*O11</f>
        <v>0</v>
      </c>
      <c r="P24" s="449">
        <f t="shared" si="9"/>
        <v>40408.5</v>
      </c>
    </row>
    <row r="25" spans="1:17" ht="24" thickBot="1" x14ac:dyDescent="0.4">
      <c r="A25" s="16" t="s">
        <v>224</v>
      </c>
      <c r="B25" s="16" t="s">
        <v>220</v>
      </c>
      <c r="C25" s="16"/>
      <c r="D25" s="443">
        <f>_xlfn.XLOOKUP($B$25,'1000 calc'!$A$75:$A$77,'1000 calc'!$D$75:$D$77,0)*D11</f>
        <v>0</v>
      </c>
      <c r="E25" s="443">
        <f>_xlfn.XLOOKUP($B$25,'1000 calc'!$A$75:$A$77,'1000 calc'!$D$75:$D$77,0)*E11</f>
        <v>167.4</v>
      </c>
      <c r="F25" s="443">
        <f>_xlfn.XLOOKUP($B$25,'1000 calc'!$A$75:$A$77,'1000 calc'!$D$75:$D$77,0)*F11</f>
        <v>334.8</v>
      </c>
      <c r="G25" s="443">
        <f>_xlfn.XLOOKUP($B$25,'1000 calc'!$A$75:$A$77,'1000 calc'!$D$75:$D$77,0)*G11</f>
        <v>334.8</v>
      </c>
      <c r="H25" s="443">
        <f>_xlfn.XLOOKUP($B$25,'1000 calc'!$A$75:$A$77,'1000 calc'!$D$75:$D$77,0)*H11</f>
        <v>0</v>
      </c>
      <c r="I25" s="443">
        <f>_xlfn.XLOOKUP($B$25,'1000 calc'!$A$75:$A$77,'1000 calc'!$D$75:$D$77,0)*I11</f>
        <v>0</v>
      </c>
      <c r="J25" s="443">
        <f>_xlfn.XLOOKUP($B$25,'1000 calc'!$A$75:$A$77,'1000 calc'!$D$75:$D$77,0)*J11</f>
        <v>669.6</v>
      </c>
      <c r="K25" s="443">
        <f>_xlfn.XLOOKUP($B$25,'1000 calc'!$A$75:$A$77,'1000 calc'!$D$75:$D$77,0)*K11</f>
        <v>837.00000000000011</v>
      </c>
      <c r="L25" s="443">
        <f>_xlfn.XLOOKUP($B$25,'1000 calc'!$A$75:$A$77,'1000 calc'!$D$75:$D$77,0)*L11</f>
        <v>1004.4000000000001</v>
      </c>
      <c r="M25" s="443">
        <f>_xlfn.XLOOKUP($B$25,'1000 calc'!$A$75:$A$77,'1000 calc'!$D$75:$D$77,0)*M11</f>
        <v>0</v>
      </c>
      <c r="N25" s="443">
        <f>_xlfn.XLOOKUP($B$25,'1000 calc'!$A$75:$A$77,'1000 calc'!$D$75:$D$77,0)*N11</f>
        <v>0</v>
      </c>
      <c r="O25" s="443">
        <f>_xlfn.XLOOKUP($B$25,'1000 calc'!$A$75:$A$77,'1000 calc'!$D$75:$D$77,0)*O11</f>
        <v>0</v>
      </c>
      <c r="P25" s="449">
        <f t="shared" si="9"/>
        <v>3348</v>
      </c>
    </row>
    <row r="26" spans="1:17" ht="24" thickBot="1" x14ac:dyDescent="0.4">
      <c r="A26" s="16" t="s">
        <v>228</v>
      </c>
      <c r="B26" s="16"/>
      <c r="D26" s="443">
        <f>20000*0.31</f>
        <v>6200</v>
      </c>
      <c r="E26" s="443">
        <v>0</v>
      </c>
      <c r="F26" s="443">
        <v>0</v>
      </c>
      <c r="G26" s="443">
        <v>0</v>
      </c>
      <c r="H26" s="443">
        <v>0</v>
      </c>
      <c r="I26" s="443">
        <v>0</v>
      </c>
      <c r="J26" s="443">
        <v>0</v>
      </c>
      <c r="K26" s="443">
        <v>0</v>
      </c>
      <c r="L26" s="443">
        <v>0</v>
      </c>
      <c r="M26" s="443">
        <v>0</v>
      </c>
      <c r="N26" s="443">
        <v>0</v>
      </c>
      <c r="O26" s="443">
        <v>0</v>
      </c>
      <c r="P26" s="449">
        <f t="shared" si="9"/>
        <v>6200</v>
      </c>
      <c r="Q26" s="446"/>
    </row>
    <row r="27" spans="1:17" ht="24" thickBot="1" x14ac:dyDescent="0.4">
      <c r="A27" s="24" t="s">
        <v>25</v>
      </c>
      <c r="B27" s="16"/>
      <c r="C27" s="16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449"/>
    </row>
    <row r="28" spans="1:17" ht="24" thickBot="1" x14ac:dyDescent="0.4">
      <c r="A28" s="16" t="s">
        <v>27</v>
      </c>
      <c r="B28" s="16"/>
      <c r="C28" s="16"/>
      <c r="D28" s="443">
        <v>50</v>
      </c>
      <c r="E28" s="443">
        <f t="shared" ref="E28:O28" si="11">D28</f>
        <v>50</v>
      </c>
      <c r="F28" s="443">
        <f t="shared" si="11"/>
        <v>50</v>
      </c>
      <c r="G28" s="443">
        <f t="shared" si="11"/>
        <v>50</v>
      </c>
      <c r="H28" s="443">
        <f t="shared" si="11"/>
        <v>50</v>
      </c>
      <c r="I28" s="443">
        <f t="shared" si="11"/>
        <v>50</v>
      </c>
      <c r="J28" s="443">
        <f t="shared" si="11"/>
        <v>50</v>
      </c>
      <c r="K28" s="443">
        <f t="shared" si="11"/>
        <v>50</v>
      </c>
      <c r="L28" s="443">
        <f t="shared" si="11"/>
        <v>50</v>
      </c>
      <c r="M28" s="443">
        <f t="shared" si="11"/>
        <v>50</v>
      </c>
      <c r="N28" s="443">
        <f t="shared" si="11"/>
        <v>50</v>
      </c>
      <c r="O28" s="443">
        <f t="shared" si="11"/>
        <v>50</v>
      </c>
      <c r="P28" s="449">
        <f t="shared" si="9"/>
        <v>600</v>
      </c>
    </row>
    <row r="29" spans="1:17" ht="24" thickBot="1" x14ac:dyDescent="0.4">
      <c r="A29" s="16" t="s">
        <v>28</v>
      </c>
      <c r="B29" s="16"/>
      <c r="C29" s="16"/>
      <c r="D29" s="443">
        <v>180</v>
      </c>
      <c r="E29" s="443">
        <f t="shared" ref="E29:E44" si="12">D29</f>
        <v>180</v>
      </c>
      <c r="F29" s="443">
        <f t="shared" ref="E29:F44" si="13">E29</f>
        <v>180</v>
      </c>
      <c r="G29" s="443">
        <f t="shared" ref="G29:G44" si="14">F29</f>
        <v>180</v>
      </c>
      <c r="H29" s="443">
        <f t="shared" ref="H29:H44" si="15">G29</f>
        <v>180</v>
      </c>
      <c r="I29" s="443">
        <f t="shared" ref="I29:I44" si="16">H29</f>
        <v>180</v>
      </c>
      <c r="J29" s="443">
        <f t="shared" ref="J29:J44" si="17">I29</f>
        <v>180</v>
      </c>
      <c r="K29" s="443">
        <f t="shared" ref="K29:K44" si="18">J29</f>
        <v>180</v>
      </c>
      <c r="L29" s="443">
        <f t="shared" ref="L29:L44" si="19">K29</f>
        <v>180</v>
      </c>
      <c r="M29" s="443">
        <f t="shared" ref="M29:M44" si="20">L29</f>
        <v>180</v>
      </c>
      <c r="N29" s="443">
        <f t="shared" ref="N29:N44" si="21">M29</f>
        <v>180</v>
      </c>
      <c r="O29" s="443">
        <f t="shared" ref="O29:O44" si="22">N29</f>
        <v>180</v>
      </c>
      <c r="P29" s="449">
        <f t="shared" si="9"/>
        <v>2160</v>
      </c>
    </row>
    <row r="30" spans="1:17" ht="24" thickBot="1" x14ac:dyDescent="0.4">
      <c r="A30" s="16" t="s">
        <v>29</v>
      </c>
      <c r="B30" s="16"/>
      <c r="C30" s="16"/>
      <c r="D30" s="443">
        <v>50</v>
      </c>
      <c r="E30" s="443">
        <f t="shared" si="12"/>
        <v>50</v>
      </c>
      <c r="F30" s="443">
        <f t="shared" si="13"/>
        <v>50</v>
      </c>
      <c r="G30" s="443">
        <f t="shared" si="14"/>
        <v>50</v>
      </c>
      <c r="H30" s="443">
        <f t="shared" si="15"/>
        <v>50</v>
      </c>
      <c r="I30" s="443">
        <f t="shared" si="16"/>
        <v>50</v>
      </c>
      <c r="J30" s="443">
        <f t="shared" si="17"/>
        <v>50</v>
      </c>
      <c r="K30" s="443">
        <f t="shared" si="18"/>
        <v>50</v>
      </c>
      <c r="L30" s="443">
        <f t="shared" si="19"/>
        <v>50</v>
      </c>
      <c r="M30" s="443">
        <f t="shared" si="20"/>
        <v>50</v>
      </c>
      <c r="N30" s="443">
        <f t="shared" si="21"/>
        <v>50</v>
      </c>
      <c r="O30" s="443">
        <f t="shared" si="22"/>
        <v>50</v>
      </c>
      <c r="P30" s="449">
        <f t="shared" si="9"/>
        <v>600</v>
      </c>
    </row>
    <row r="31" spans="1:17" ht="24" thickBot="1" x14ac:dyDescent="0.4">
      <c r="A31" s="16" t="s">
        <v>30</v>
      </c>
      <c r="B31" s="16"/>
      <c r="C31" s="16"/>
      <c r="D31" s="443">
        <v>100</v>
      </c>
      <c r="E31" s="443">
        <f t="shared" si="12"/>
        <v>100</v>
      </c>
      <c r="F31" s="443">
        <f t="shared" si="13"/>
        <v>100</v>
      </c>
      <c r="G31" s="443">
        <f t="shared" si="14"/>
        <v>100</v>
      </c>
      <c r="H31" s="443">
        <f t="shared" si="15"/>
        <v>100</v>
      </c>
      <c r="I31" s="443">
        <f t="shared" si="16"/>
        <v>100</v>
      </c>
      <c r="J31" s="443">
        <f t="shared" si="17"/>
        <v>100</v>
      </c>
      <c r="K31" s="443">
        <f t="shared" si="18"/>
        <v>100</v>
      </c>
      <c r="L31" s="443">
        <f t="shared" si="19"/>
        <v>100</v>
      </c>
      <c r="M31" s="443">
        <f t="shared" si="20"/>
        <v>100</v>
      </c>
      <c r="N31" s="443">
        <f t="shared" si="21"/>
        <v>100</v>
      </c>
      <c r="O31" s="443">
        <f t="shared" si="22"/>
        <v>100</v>
      </c>
      <c r="P31" s="449">
        <f t="shared" si="9"/>
        <v>1200</v>
      </c>
    </row>
    <row r="32" spans="1:17" ht="24" thickBot="1" x14ac:dyDescent="0.4">
      <c r="A32" s="16" t="s">
        <v>32</v>
      </c>
      <c r="B32" s="16"/>
      <c r="C32" s="16"/>
      <c r="D32" s="443">
        <v>45</v>
      </c>
      <c r="E32" s="443">
        <f t="shared" si="12"/>
        <v>45</v>
      </c>
      <c r="F32" s="443">
        <f t="shared" si="13"/>
        <v>45</v>
      </c>
      <c r="G32" s="443">
        <f t="shared" si="14"/>
        <v>45</v>
      </c>
      <c r="H32" s="443">
        <f t="shared" si="15"/>
        <v>45</v>
      </c>
      <c r="I32" s="443">
        <f t="shared" si="16"/>
        <v>45</v>
      </c>
      <c r="J32" s="443">
        <f t="shared" si="17"/>
        <v>45</v>
      </c>
      <c r="K32" s="443">
        <f t="shared" si="18"/>
        <v>45</v>
      </c>
      <c r="L32" s="443">
        <f t="shared" si="19"/>
        <v>45</v>
      </c>
      <c r="M32" s="443">
        <f t="shared" si="20"/>
        <v>45</v>
      </c>
      <c r="N32" s="443">
        <f t="shared" si="21"/>
        <v>45</v>
      </c>
      <c r="O32" s="443">
        <f t="shared" si="22"/>
        <v>45</v>
      </c>
      <c r="P32" s="449">
        <f t="shared" si="9"/>
        <v>540</v>
      </c>
    </row>
    <row r="33" spans="1:16" ht="24" thickBot="1" x14ac:dyDescent="0.4">
      <c r="A33" s="16" t="s">
        <v>33</v>
      </c>
      <c r="B33" s="16"/>
      <c r="C33" s="16"/>
      <c r="D33" s="443">
        <v>30</v>
      </c>
      <c r="E33" s="443">
        <f t="shared" si="12"/>
        <v>30</v>
      </c>
      <c r="F33" s="443">
        <f t="shared" si="13"/>
        <v>30</v>
      </c>
      <c r="G33" s="443">
        <f t="shared" si="14"/>
        <v>30</v>
      </c>
      <c r="H33" s="443">
        <f t="shared" si="15"/>
        <v>30</v>
      </c>
      <c r="I33" s="443">
        <f t="shared" si="16"/>
        <v>30</v>
      </c>
      <c r="J33" s="443">
        <f t="shared" si="17"/>
        <v>30</v>
      </c>
      <c r="K33" s="443">
        <f t="shared" si="18"/>
        <v>30</v>
      </c>
      <c r="L33" s="443">
        <f t="shared" si="19"/>
        <v>30</v>
      </c>
      <c r="M33" s="443">
        <f t="shared" si="20"/>
        <v>30</v>
      </c>
      <c r="N33" s="443">
        <f t="shared" si="21"/>
        <v>30</v>
      </c>
      <c r="O33" s="443">
        <f t="shared" si="22"/>
        <v>30</v>
      </c>
      <c r="P33" s="449">
        <f t="shared" si="9"/>
        <v>360</v>
      </c>
    </row>
    <row r="34" spans="1:16" ht="24" thickBot="1" x14ac:dyDescent="0.4">
      <c r="A34" s="16" t="s">
        <v>35</v>
      </c>
      <c r="B34" s="16"/>
      <c r="C34" s="16"/>
      <c r="D34" s="443">
        <v>166.66666666666666</v>
      </c>
      <c r="E34" s="443">
        <f t="shared" si="12"/>
        <v>166.66666666666666</v>
      </c>
      <c r="F34" s="443">
        <f t="shared" si="13"/>
        <v>166.66666666666666</v>
      </c>
      <c r="G34" s="443">
        <f t="shared" si="14"/>
        <v>166.66666666666666</v>
      </c>
      <c r="H34" s="443">
        <f t="shared" si="15"/>
        <v>166.66666666666666</v>
      </c>
      <c r="I34" s="443">
        <f t="shared" si="16"/>
        <v>166.66666666666666</v>
      </c>
      <c r="J34" s="443">
        <f t="shared" si="17"/>
        <v>166.66666666666666</v>
      </c>
      <c r="K34" s="443">
        <f t="shared" si="18"/>
        <v>166.66666666666666</v>
      </c>
      <c r="L34" s="443">
        <f t="shared" si="19"/>
        <v>166.66666666666666</v>
      </c>
      <c r="M34" s="443">
        <f t="shared" si="20"/>
        <v>166.66666666666666</v>
      </c>
      <c r="N34" s="443">
        <f t="shared" si="21"/>
        <v>166.66666666666666</v>
      </c>
      <c r="O34" s="443">
        <f t="shared" si="22"/>
        <v>166.66666666666666</v>
      </c>
      <c r="P34" s="449">
        <f t="shared" si="9"/>
        <v>2000.0000000000002</v>
      </c>
    </row>
    <row r="35" spans="1:16" ht="24" thickBot="1" x14ac:dyDescent="0.4">
      <c r="A35" s="16" t="s">
        <v>36</v>
      </c>
      <c r="B35" s="16"/>
      <c r="C35" s="16"/>
      <c r="D35" s="443">
        <v>432.69230769230768</v>
      </c>
      <c r="E35" s="443">
        <f t="shared" si="12"/>
        <v>432.69230769230768</v>
      </c>
      <c r="F35" s="443">
        <f t="shared" si="13"/>
        <v>432.69230769230768</v>
      </c>
      <c r="G35" s="443">
        <f t="shared" si="14"/>
        <v>432.69230769230768</v>
      </c>
      <c r="H35" s="443">
        <f t="shared" si="15"/>
        <v>432.69230769230768</v>
      </c>
      <c r="I35" s="443">
        <f t="shared" si="16"/>
        <v>432.69230769230768</v>
      </c>
      <c r="J35" s="443">
        <f t="shared" si="17"/>
        <v>432.69230769230768</v>
      </c>
      <c r="K35" s="443">
        <f t="shared" si="18"/>
        <v>432.69230769230768</v>
      </c>
      <c r="L35" s="443">
        <f t="shared" si="19"/>
        <v>432.69230769230768</v>
      </c>
      <c r="M35" s="443">
        <f t="shared" si="20"/>
        <v>432.69230769230768</v>
      </c>
      <c r="N35" s="443">
        <f t="shared" si="21"/>
        <v>432.69230769230768</v>
      </c>
      <c r="O35" s="443">
        <f t="shared" si="22"/>
        <v>432.69230769230768</v>
      </c>
      <c r="P35" s="449">
        <f t="shared" si="9"/>
        <v>5192.3076923076924</v>
      </c>
    </row>
    <row r="36" spans="1:16" ht="24" thickBot="1" x14ac:dyDescent="0.4">
      <c r="A36" s="16" t="s">
        <v>37</v>
      </c>
      <c r="B36" s="16"/>
      <c r="C36" s="16"/>
      <c r="D36" s="443">
        <v>865.38461538461536</v>
      </c>
      <c r="E36" s="443">
        <f t="shared" si="12"/>
        <v>865.38461538461536</v>
      </c>
      <c r="F36" s="443">
        <f t="shared" si="13"/>
        <v>865.38461538461536</v>
      </c>
      <c r="G36" s="443">
        <f t="shared" si="14"/>
        <v>865.38461538461536</v>
      </c>
      <c r="H36" s="443">
        <f t="shared" si="15"/>
        <v>865.38461538461536</v>
      </c>
      <c r="I36" s="443">
        <f t="shared" si="16"/>
        <v>865.38461538461536</v>
      </c>
      <c r="J36" s="443">
        <f t="shared" si="17"/>
        <v>865.38461538461536</v>
      </c>
      <c r="K36" s="443">
        <f t="shared" si="18"/>
        <v>865.38461538461536</v>
      </c>
      <c r="L36" s="443">
        <f t="shared" si="19"/>
        <v>865.38461538461536</v>
      </c>
      <c r="M36" s="443">
        <f t="shared" si="20"/>
        <v>865.38461538461536</v>
      </c>
      <c r="N36" s="443">
        <f t="shared" si="21"/>
        <v>865.38461538461536</v>
      </c>
      <c r="O36" s="443">
        <f t="shared" si="22"/>
        <v>865.38461538461536</v>
      </c>
      <c r="P36" s="449">
        <f t="shared" si="9"/>
        <v>10384.615384615385</v>
      </c>
    </row>
    <row r="37" spans="1:16" ht="24" thickBot="1" x14ac:dyDescent="0.4">
      <c r="A37" s="16" t="s">
        <v>38</v>
      </c>
      <c r="B37" s="16"/>
      <c r="C37" s="16"/>
      <c r="D37" s="443">
        <v>120</v>
      </c>
      <c r="E37" s="443">
        <f t="shared" si="12"/>
        <v>120</v>
      </c>
      <c r="F37" s="443">
        <f t="shared" si="13"/>
        <v>120</v>
      </c>
      <c r="G37" s="443">
        <f t="shared" si="14"/>
        <v>120</v>
      </c>
      <c r="H37" s="443">
        <f t="shared" si="15"/>
        <v>120</v>
      </c>
      <c r="I37" s="443">
        <f t="shared" si="16"/>
        <v>120</v>
      </c>
      <c r="J37" s="443">
        <f t="shared" si="17"/>
        <v>120</v>
      </c>
      <c r="K37" s="443">
        <f t="shared" si="18"/>
        <v>120</v>
      </c>
      <c r="L37" s="443">
        <f t="shared" si="19"/>
        <v>120</v>
      </c>
      <c r="M37" s="443">
        <f t="shared" si="20"/>
        <v>120</v>
      </c>
      <c r="N37" s="443">
        <f t="shared" si="21"/>
        <v>120</v>
      </c>
      <c r="O37" s="443">
        <f t="shared" si="22"/>
        <v>120</v>
      </c>
      <c r="P37" s="449">
        <f t="shared" si="9"/>
        <v>1440</v>
      </c>
    </row>
    <row r="38" spans="1:16" ht="24" thickBot="1" x14ac:dyDescent="0.4">
      <c r="A38" s="16" t="s">
        <v>39</v>
      </c>
      <c r="B38" s="16"/>
      <c r="C38" s="16"/>
      <c r="D38" s="443">
        <v>500</v>
      </c>
      <c r="E38" s="443">
        <f t="shared" si="13"/>
        <v>500</v>
      </c>
      <c r="F38" s="443">
        <f t="shared" si="13"/>
        <v>500</v>
      </c>
      <c r="G38" s="443">
        <f t="shared" si="14"/>
        <v>500</v>
      </c>
      <c r="H38" s="443">
        <f t="shared" si="15"/>
        <v>500</v>
      </c>
      <c r="I38" s="443">
        <f t="shared" si="16"/>
        <v>500</v>
      </c>
      <c r="J38" s="443">
        <f t="shared" si="17"/>
        <v>500</v>
      </c>
      <c r="K38" s="443">
        <f t="shared" si="18"/>
        <v>500</v>
      </c>
      <c r="L38" s="443">
        <f t="shared" si="19"/>
        <v>500</v>
      </c>
      <c r="M38" s="443">
        <f t="shared" si="20"/>
        <v>500</v>
      </c>
      <c r="N38" s="443">
        <f t="shared" si="21"/>
        <v>500</v>
      </c>
      <c r="O38" s="443">
        <f t="shared" si="22"/>
        <v>500</v>
      </c>
      <c r="P38" s="449">
        <f t="shared" si="9"/>
        <v>6000</v>
      </c>
    </row>
    <row r="39" spans="1:16" ht="24" thickBot="1" x14ac:dyDescent="0.4">
      <c r="A39" s="16" t="s">
        <v>40</v>
      </c>
      <c r="B39" s="16"/>
      <c r="C39" s="16"/>
      <c r="D39" s="443">
        <v>25</v>
      </c>
      <c r="E39" s="443">
        <f t="shared" si="12"/>
        <v>25</v>
      </c>
      <c r="F39" s="443">
        <f t="shared" si="13"/>
        <v>25</v>
      </c>
      <c r="G39" s="443">
        <f t="shared" si="14"/>
        <v>25</v>
      </c>
      <c r="H39" s="443">
        <f t="shared" si="15"/>
        <v>25</v>
      </c>
      <c r="I39" s="443">
        <f t="shared" si="16"/>
        <v>25</v>
      </c>
      <c r="J39" s="443">
        <f t="shared" si="17"/>
        <v>25</v>
      </c>
      <c r="K39" s="443">
        <f t="shared" si="18"/>
        <v>25</v>
      </c>
      <c r="L39" s="443">
        <f t="shared" si="19"/>
        <v>25</v>
      </c>
      <c r="M39" s="443">
        <f t="shared" si="20"/>
        <v>25</v>
      </c>
      <c r="N39" s="443">
        <f t="shared" si="21"/>
        <v>25</v>
      </c>
      <c r="O39" s="443">
        <f t="shared" si="22"/>
        <v>25</v>
      </c>
      <c r="P39" s="449">
        <f t="shared" si="9"/>
        <v>300</v>
      </c>
    </row>
    <row r="40" spans="1:16" ht="24" thickBot="1" x14ac:dyDescent="0.4">
      <c r="A40" s="16" t="s">
        <v>42</v>
      </c>
      <c r="B40" s="16"/>
      <c r="C40" s="16"/>
      <c r="D40" s="443">
        <v>40</v>
      </c>
      <c r="E40" s="443">
        <f t="shared" si="12"/>
        <v>40</v>
      </c>
      <c r="F40" s="443">
        <f t="shared" si="13"/>
        <v>40</v>
      </c>
      <c r="G40" s="443">
        <f t="shared" si="14"/>
        <v>40</v>
      </c>
      <c r="H40" s="443">
        <f t="shared" si="15"/>
        <v>40</v>
      </c>
      <c r="I40" s="443">
        <f t="shared" si="16"/>
        <v>40</v>
      </c>
      <c r="J40" s="443">
        <f t="shared" si="17"/>
        <v>40</v>
      </c>
      <c r="K40" s="443">
        <f t="shared" si="18"/>
        <v>40</v>
      </c>
      <c r="L40" s="443">
        <f t="shared" si="19"/>
        <v>40</v>
      </c>
      <c r="M40" s="443">
        <f t="shared" si="20"/>
        <v>40</v>
      </c>
      <c r="N40" s="443">
        <f t="shared" si="21"/>
        <v>40</v>
      </c>
      <c r="O40" s="443">
        <f t="shared" si="22"/>
        <v>40</v>
      </c>
      <c r="P40" s="449">
        <f t="shared" si="9"/>
        <v>480</v>
      </c>
    </row>
    <row r="41" spans="1:16" ht="24" thickBot="1" x14ac:dyDescent="0.4">
      <c r="A41" s="16" t="s">
        <v>43</v>
      </c>
      <c r="B41" s="16"/>
      <c r="C41" s="16"/>
      <c r="D41" s="443">
        <v>38</v>
      </c>
      <c r="E41" s="443">
        <f t="shared" si="12"/>
        <v>38</v>
      </c>
      <c r="F41" s="443">
        <f t="shared" si="13"/>
        <v>38</v>
      </c>
      <c r="G41" s="443">
        <f t="shared" si="14"/>
        <v>38</v>
      </c>
      <c r="H41" s="443">
        <f t="shared" si="15"/>
        <v>38</v>
      </c>
      <c r="I41" s="443">
        <f t="shared" si="16"/>
        <v>38</v>
      </c>
      <c r="J41" s="443">
        <f t="shared" si="17"/>
        <v>38</v>
      </c>
      <c r="K41" s="443">
        <f t="shared" si="18"/>
        <v>38</v>
      </c>
      <c r="L41" s="443">
        <f t="shared" si="19"/>
        <v>38</v>
      </c>
      <c r="M41" s="443">
        <f t="shared" si="20"/>
        <v>38</v>
      </c>
      <c r="N41" s="443">
        <f t="shared" si="21"/>
        <v>38</v>
      </c>
      <c r="O41" s="443">
        <f t="shared" si="22"/>
        <v>38</v>
      </c>
      <c r="P41" s="449">
        <f t="shared" si="9"/>
        <v>456</v>
      </c>
    </row>
    <row r="42" spans="1:16" ht="24" thickBot="1" x14ac:dyDescent="0.4">
      <c r="A42" s="16" t="s">
        <v>45</v>
      </c>
      <c r="B42" s="16"/>
      <c r="C42" s="16"/>
      <c r="D42" s="443">
        <v>25</v>
      </c>
      <c r="E42" s="443">
        <f t="shared" si="12"/>
        <v>25</v>
      </c>
      <c r="F42" s="443">
        <f t="shared" si="13"/>
        <v>25</v>
      </c>
      <c r="G42" s="443">
        <f t="shared" si="14"/>
        <v>25</v>
      </c>
      <c r="H42" s="443">
        <f t="shared" si="15"/>
        <v>25</v>
      </c>
      <c r="I42" s="443">
        <f t="shared" si="16"/>
        <v>25</v>
      </c>
      <c r="J42" s="443">
        <f t="shared" si="17"/>
        <v>25</v>
      </c>
      <c r="K42" s="443">
        <f t="shared" si="18"/>
        <v>25</v>
      </c>
      <c r="L42" s="443">
        <f t="shared" si="19"/>
        <v>25</v>
      </c>
      <c r="M42" s="443">
        <f t="shared" si="20"/>
        <v>25</v>
      </c>
      <c r="N42" s="443">
        <f t="shared" si="21"/>
        <v>25</v>
      </c>
      <c r="O42" s="443">
        <f t="shared" si="22"/>
        <v>25</v>
      </c>
      <c r="P42" s="449">
        <f t="shared" si="9"/>
        <v>300</v>
      </c>
    </row>
    <row r="43" spans="1:16" ht="24" thickBot="1" x14ac:dyDescent="0.4">
      <c r="A43" s="16" t="s">
        <v>46</v>
      </c>
      <c r="B43" s="16"/>
      <c r="C43" s="16"/>
      <c r="D43" s="443">
        <v>25</v>
      </c>
      <c r="E43" s="443">
        <f t="shared" si="12"/>
        <v>25</v>
      </c>
      <c r="F43" s="443">
        <f t="shared" si="13"/>
        <v>25</v>
      </c>
      <c r="G43" s="443">
        <f t="shared" si="14"/>
        <v>25</v>
      </c>
      <c r="H43" s="443">
        <f t="shared" si="15"/>
        <v>25</v>
      </c>
      <c r="I43" s="443">
        <f t="shared" si="16"/>
        <v>25</v>
      </c>
      <c r="J43" s="443">
        <f t="shared" si="17"/>
        <v>25</v>
      </c>
      <c r="K43" s="443">
        <f t="shared" si="18"/>
        <v>25</v>
      </c>
      <c r="L43" s="443">
        <f t="shared" si="19"/>
        <v>25</v>
      </c>
      <c r="M43" s="443">
        <f t="shared" si="20"/>
        <v>25</v>
      </c>
      <c r="N43" s="443">
        <f t="shared" si="21"/>
        <v>25</v>
      </c>
      <c r="O43" s="443">
        <f t="shared" si="22"/>
        <v>25</v>
      </c>
      <c r="P43" s="449">
        <f t="shared" si="9"/>
        <v>300</v>
      </c>
    </row>
    <row r="44" spans="1:16" ht="24" thickBot="1" x14ac:dyDescent="0.4">
      <c r="A44" s="16" t="s">
        <v>48</v>
      </c>
      <c r="B44" s="16"/>
      <c r="C44" s="16"/>
      <c r="D44" s="443">
        <v>25</v>
      </c>
      <c r="E44" s="443">
        <f t="shared" si="12"/>
        <v>25</v>
      </c>
      <c r="F44" s="443">
        <f t="shared" si="13"/>
        <v>25</v>
      </c>
      <c r="G44" s="443">
        <f t="shared" si="14"/>
        <v>25</v>
      </c>
      <c r="H44" s="443">
        <f t="shared" si="15"/>
        <v>25</v>
      </c>
      <c r="I44" s="443">
        <f t="shared" si="16"/>
        <v>25</v>
      </c>
      <c r="J44" s="443">
        <f t="shared" si="17"/>
        <v>25</v>
      </c>
      <c r="K44" s="443">
        <f t="shared" si="18"/>
        <v>25</v>
      </c>
      <c r="L44" s="443">
        <f t="shared" si="19"/>
        <v>25</v>
      </c>
      <c r="M44" s="443">
        <f t="shared" si="20"/>
        <v>25</v>
      </c>
      <c r="N44" s="443">
        <f t="shared" si="21"/>
        <v>25</v>
      </c>
      <c r="O44" s="443">
        <f t="shared" si="22"/>
        <v>25</v>
      </c>
      <c r="P44" s="449">
        <f t="shared" si="9"/>
        <v>300</v>
      </c>
    </row>
    <row r="45" spans="1:16" ht="24" thickBot="1" x14ac:dyDescent="0.4">
      <c r="A45" s="16"/>
      <c r="B45" s="16"/>
      <c r="C45" s="16"/>
      <c r="D45" s="443"/>
      <c r="E45" s="443"/>
      <c r="F45" s="443"/>
      <c r="G45" s="443"/>
      <c r="H45" s="443"/>
      <c r="I45" s="443"/>
      <c r="J45" s="443"/>
      <c r="K45" s="443"/>
      <c r="L45" s="443"/>
      <c r="M45" s="443"/>
      <c r="N45" s="443"/>
      <c r="O45" s="443"/>
      <c r="P45" s="449"/>
    </row>
    <row r="46" spans="1:16" s="456" customFormat="1" ht="24" thickBot="1" x14ac:dyDescent="0.4">
      <c r="A46" s="433" t="s">
        <v>52</v>
      </c>
      <c r="B46" s="433"/>
      <c r="C46" s="433"/>
      <c r="D46" s="454">
        <f t="shared" ref="D46:O46" si="23">SUM(D19:D44)</f>
        <v>18667.743589743593</v>
      </c>
      <c r="E46" s="454">
        <f t="shared" si="23"/>
        <v>39655.568589743591</v>
      </c>
      <c r="F46" s="454">
        <f t="shared" si="23"/>
        <v>41843.393589743588</v>
      </c>
      <c r="G46" s="454">
        <f t="shared" si="23"/>
        <v>41843.393589743588</v>
      </c>
      <c r="H46" s="454">
        <f t="shared" si="23"/>
        <v>12467.74358974359</v>
      </c>
      <c r="I46" s="454">
        <f t="shared" si="23"/>
        <v>12467.74358974359</v>
      </c>
      <c r="J46" s="454">
        <f t="shared" si="23"/>
        <v>46219.043589743582</v>
      </c>
      <c r="K46" s="454">
        <f t="shared" si="23"/>
        <v>48406.868589743586</v>
      </c>
      <c r="L46" s="454">
        <f t="shared" si="23"/>
        <v>50594.693589743591</v>
      </c>
      <c r="M46" s="454">
        <f t="shared" si="23"/>
        <v>12467.74358974359</v>
      </c>
      <c r="N46" s="454">
        <f t="shared" si="23"/>
        <v>12467.74358974359</v>
      </c>
      <c r="O46" s="454">
        <f t="shared" si="23"/>
        <v>12467.74358974359</v>
      </c>
      <c r="P46" s="455">
        <f>SUM(D46:O46)</f>
        <v>349569.42307692301</v>
      </c>
    </row>
    <row r="47" spans="1:16" s="456" customFormat="1" ht="18.5" thickBot="1" x14ac:dyDescent="0.4">
      <c r="A47" s="434"/>
      <c r="B47" s="434"/>
      <c r="C47" s="434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8"/>
    </row>
    <row r="48" spans="1:16" s="456" customFormat="1" ht="24" thickBot="1" x14ac:dyDescent="0.4">
      <c r="A48" s="435" t="s">
        <v>146</v>
      </c>
      <c r="B48" s="435"/>
      <c r="C48" s="435"/>
      <c r="D48" s="436">
        <f t="shared" ref="D48:O48" si="24">D18-D46</f>
        <v>-18667.743589743593</v>
      </c>
      <c r="E48" s="436">
        <f t="shared" si="24"/>
        <v>-15655.568589743591</v>
      </c>
      <c r="F48" s="436">
        <f t="shared" si="24"/>
        <v>6156.6064102564123</v>
      </c>
      <c r="G48" s="436">
        <f t="shared" si="24"/>
        <v>6156.6064102564123</v>
      </c>
      <c r="H48" s="436">
        <f t="shared" si="24"/>
        <v>-12467.74358974359</v>
      </c>
      <c r="I48" s="436">
        <f t="shared" si="24"/>
        <v>-12467.74358974359</v>
      </c>
      <c r="J48" s="436">
        <f t="shared" si="24"/>
        <v>49780.956410256418</v>
      </c>
      <c r="K48" s="436">
        <f t="shared" si="24"/>
        <v>71593.131410256407</v>
      </c>
      <c r="L48" s="436">
        <f t="shared" si="24"/>
        <v>93405.306410256409</v>
      </c>
      <c r="M48" s="436">
        <f t="shared" si="24"/>
        <v>-12467.74358974359</v>
      </c>
      <c r="N48" s="436">
        <f t="shared" si="24"/>
        <v>-12467.74358974359</v>
      </c>
      <c r="O48" s="436">
        <f t="shared" si="24"/>
        <v>-12467.74358974359</v>
      </c>
      <c r="P48" s="455">
        <f>SUM(D48:O48)</f>
        <v>130430.57692307691</v>
      </c>
    </row>
    <row r="49" spans="1:17" s="456" customFormat="1" ht="15" thickTop="1" x14ac:dyDescent="0.35"/>
    <row r="50" spans="1:17" s="456" customFormat="1" x14ac:dyDescent="0.35"/>
    <row r="51" spans="1:17" s="456" customFormat="1" ht="18.5" thickBot="1" x14ac:dyDescent="0.4">
      <c r="A51" s="435" t="s">
        <v>168</v>
      </c>
      <c r="B51" s="435"/>
      <c r="C51" s="435"/>
      <c r="D51" s="437">
        <v>0</v>
      </c>
      <c r="E51" s="437">
        <f t="shared" ref="E51:O51" si="25">E18</f>
        <v>24000</v>
      </c>
      <c r="F51" s="437">
        <f t="shared" si="25"/>
        <v>48000</v>
      </c>
      <c r="G51" s="437">
        <f t="shared" si="25"/>
        <v>48000</v>
      </c>
      <c r="H51" s="437">
        <f t="shared" si="25"/>
        <v>0</v>
      </c>
      <c r="I51" s="437">
        <f t="shared" si="25"/>
        <v>0</v>
      </c>
      <c r="J51" s="437">
        <f t="shared" si="25"/>
        <v>96000</v>
      </c>
      <c r="K51" s="437">
        <f t="shared" si="25"/>
        <v>120000</v>
      </c>
      <c r="L51" s="437">
        <f t="shared" si="25"/>
        <v>144000</v>
      </c>
      <c r="M51" s="437">
        <f t="shared" si="25"/>
        <v>0</v>
      </c>
      <c r="N51" s="437">
        <f t="shared" si="25"/>
        <v>0</v>
      </c>
      <c r="O51" s="437">
        <f t="shared" si="25"/>
        <v>0</v>
      </c>
      <c r="P51" s="459"/>
    </row>
    <row r="52" spans="1:17" s="456" customFormat="1" ht="15" thickTop="1" x14ac:dyDescent="0.35">
      <c r="D52" s="459"/>
      <c r="E52" s="459"/>
      <c r="F52" s="459"/>
      <c r="G52" s="459"/>
      <c r="H52" s="459"/>
      <c r="I52" s="459"/>
      <c r="J52" s="459"/>
      <c r="K52" s="459"/>
      <c r="L52" s="459"/>
      <c r="M52" s="459"/>
      <c r="N52" s="459"/>
      <c r="O52" s="459"/>
      <c r="P52" s="459"/>
      <c r="Q52" s="460"/>
    </row>
    <row r="53" spans="1:17" s="456" customFormat="1" ht="18.5" thickBot="1" x14ac:dyDescent="0.4">
      <c r="A53" s="435" t="s">
        <v>162</v>
      </c>
      <c r="B53" s="435"/>
      <c r="C53" s="435"/>
      <c r="D53" s="437">
        <f>D51+D48</f>
        <v>-18667.743589743593</v>
      </c>
      <c r="E53" s="437">
        <f>D53+E51-E46</f>
        <v>-34323.312179487184</v>
      </c>
      <c r="F53" s="437">
        <f t="shared" ref="F53:O53" si="26">E53+F51-F46</f>
        <v>-28166.705769230772</v>
      </c>
      <c r="G53" s="437">
        <f>F53+G51-G46</f>
        <v>-22010.099358974359</v>
      </c>
      <c r="H53" s="437">
        <f t="shared" si="26"/>
        <v>-34477.842948717953</v>
      </c>
      <c r="I53" s="437">
        <f t="shared" si="26"/>
        <v>-46945.586538461546</v>
      </c>
      <c r="J53" s="437">
        <f t="shared" si="26"/>
        <v>2835.3698717948719</v>
      </c>
      <c r="K53" s="437">
        <f t="shared" si="26"/>
        <v>74428.501282051293</v>
      </c>
      <c r="L53" s="437">
        <f t="shared" si="26"/>
        <v>167833.80769230769</v>
      </c>
      <c r="M53" s="437">
        <f t="shared" si="26"/>
        <v>155366.06410256409</v>
      </c>
      <c r="N53" s="437">
        <f t="shared" si="26"/>
        <v>142898.3205128205</v>
      </c>
      <c r="O53" s="437">
        <f t="shared" si="26"/>
        <v>130430.57692307691</v>
      </c>
      <c r="P53" s="459"/>
      <c r="Q53" s="460"/>
    </row>
    <row r="54" spans="1:17" ht="15" thickTop="1" x14ac:dyDescent="0.35"/>
    <row r="55" spans="1:17" x14ac:dyDescent="0.35">
      <c r="I55" s="263">
        <f>I53/0.08</f>
        <v>-586819.83173076937</v>
      </c>
    </row>
    <row r="56" spans="1:17" x14ac:dyDescent="0.35">
      <c r="E56" s="446"/>
    </row>
    <row r="57" spans="1:17" x14ac:dyDescent="0.35">
      <c r="E57" s="446"/>
    </row>
  </sheetData>
  <pageMargins left="0.7" right="0.7" top="0.75" bottom="0.75" header="0.3" footer="0.3"/>
  <pageSetup scale="30" orientation="portrait" r:id="rId1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EF48-FF06-4587-BE9A-3F8E706895AA}">
  <dimension ref="A1:O86"/>
  <sheetViews>
    <sheetView showGridLines="0" view="pageBreakPreview" topLeftCell="A68" zoomScale="90" zoomScaleNormal="80" zoomScaleSheetLayoutView="90" workbookViewId="0">
      <selection activeCell="C83" sqref="C83"/>
    </sheetView>
  </sheetViews>
  <sheetFormatPr defaultRowHeight="14.5" x14ac:dyDescent="0.35"/>
  <cols>
    <col min="1" max="1" width="33.90625" customWidth="1"/>
    <col min="2" max="2" width="12.7265625" bestFit="1" customWidth="1"/>
    <col min="5" max="5" width="11" bestFit="1" customWidth="1"/>
    <col min="7" max="7" width="9.1796875" bestFit="1" customWidth="1"/>
    <col min="8" max="8" width="9.90625" bestFit="1" customWidth="1"/>
    <col min="9" max="9" width="8.81640625" bestFit="1" customWidth="1"/>
    <col min="10" max="10" width="9.81640625" bestFit="1" customWidth="1"/>
  </cols>
  <sheetData>
    <row r="1" spans="1:13" hidden="1" x14ac:dyDescent="0.35">
      <c r="E1" t="s">
        <v>194</v>
      </c>
      <c r="J1" t="s">
        <v>193</v>
      </c>
    </row>
    <row r="2" spans="1:13" hidden="1" x14ac:dyDescent="0.35">
      <c r="B2" t="s">
        <v>188</v>
      </c>
      <c r="C2" t="s">
        <v>189</v>
      </c>
      <c r="E2" t="s">
        <v>190</v>
      </c>
      <c r="F2" t="s">
        <v>197</v>
      </c>
      <c r="G2" t="s">
        <v>191</v>
      </c>
      <c r="H2" t="s">
        <v>198</v>
      </c>
      <c r="I2" t="s">
        <v>201</v>
      </c>
      <c r="J2" t="s">
        <v>192</v>
      </c>
    </row>
    <row r="3" spans="1:13" hidden="1" x14ac:dyDescent="0.35">
      <c r="A3" t="s">
        <v>195</v>
      </c>
      <c r="B3">
        <v>250</v>
      </c>
      <c r="C3">
        <v>50</v>
      </c>
      <c r="E3">
        <v>6</v>
      </c>
      <c r="F3">
        <v>0</v>
      </c>
      <c r="G3">
        <f>B3*C3*E3</f>
        <v>75000</v>
      </c>
      <c r="J3">
        <v>0.5</v>
      </c>
      <c r="K3">
        <f>(J3/1000000)*G3</f>
        <v>3.7499999999999999E-2</v>
      </c>
    </row>
    <row r="4" spans="1:13" hidden="1" x14ac:dyDescent="0.35">
      <c r="A4" t="s">
        <v>196</v>
      </c>
      <c r="B4">
        <v>250</v>
      </c>
      <c r="C4">
        <v>50</v>
      </c>
      <c r="E4">
        <v>0</v>
      </c>
      <c r="F4">
        <v>0.5</v>
      </c>
      <c r="G4">
        <v>0</v>
      </c>
      <c r="H4">
        <v>6.0000000000000001E-3</v>
      </c>
      <c r="J4">
        <v>0</v>
      </c>
      <c r="K4">
        <f>B4*F4*H4</f>
        <v>0.75</v>
      </c>
    </row>
    <row r="5" spans="1:13" hidden="1" x14ac:dyDescent="0.35"/>
    <row r="6" spans="1:13" hidden="1" x14ac:dyDescent="0.35"/>
    <row r="7" spans="1:13" hidden="1" x14ac:dyDescent="0.35">
      <c r="A7" t="s">
        <v>199</v>
      </c>
      <c r="B7">
        <v>250</v>
      </c>
      <c r="C7">
        <v>50</v>
      </c>
      <c r="E7">
        <v>6</v>
      </c>
      <c r="F7">
        <v>0</v>
      </c>
      <c r="G7">
        <f>B7*C7*E7</f>
        <v>75000</v>
      </c>
      <c r="H7">
        <v>0</v>
      </c>
      <c r="I7">
        <v>0</v>
      </c>
      <c r="J7">
        <v>1.5</v>
      </c>
      <c r="K7">
        <f>(J7/1000000)*G7</f>
        <v>0.1125</v>
      </c>
      <c r="L7">
        <f>K7*10000</f>
        <v>1125</v>
      </c>
      <c r="M7" s="484" t="s">
        <v>202</v>
      </c>
    </row>
    <row r="8" spans="1:13" hidden="1" x14ac:dyDescent="0.35">
      <c r="A8" t="s">
        <v>200</v>
      </c>
      <c r="B8">
        <v>250</v>
      </c>
      <c r="C8">
        <v>50</v>
      </c>
      <c r="E8">
        <v>0</v>
      </c>
      <c r="F8">
        <v>0</v>
      </c>
      <c r="G8">
        <v>0</v>
      </c>
      <c r="H8">
        <v>0</v>
      </c>
      <c r="I8">
        <v>8</v>
      </c>
      <c r="J8">
        <v>15</v>
      </c>
      <c r="K8">
        <f>B8*C8*I8*(J8/1000000)</f>
        <v>1.5</v>
      </c>
    </row>
    <row r="9" spans="1:13" hidden="1" x14ac:dyDescent="0.35"/>
    <row r="10" spans="1:13" hidden="1" x14ac:dyDescent="0.35">
      <c r="A10" t="s">
        <v>187</v>
      </c>
      <c r="B10">
        <v>250</v>
      </c>
      <c r="C10">
        <v>50</v>
      </c>
      <c r="E10">
        <v>0</v>
      </c>
      <c r="F10">
        <v>0.5</v>
      </c>
      <c r="G10">
        <v>0</v>
      </c>
      <c r="H10">
        <v>0.1</v>
      </c>
      <c r="J10">
        <v>0</v>
      </c>
      <c r="K10">
        <f>B10*F10*H10</f>
        <v>12.5</v>
      </c>
    </row>
    <row r="11" spans="1:13" hidden="1" x14ac:dyDescent="0.35"/>
    <row r="12" spans="1:13" hidden="1" x14ac:dyDescent="0.35">
      <c r="K12" s="483">
        <f>SUM(K3:K10)</f>
        <v>14.9</v>
      </c>
      <c r="L12">
        <f>K12*3.75</f>
        <v>55.875</v>
      </c>
    </row>
    <row r="13" spans="1:13" hidden="1" x14ac:dyDescent="0.35">
      <c r="K13" s="483">
        <f>K12*2</f>
        <v>29.8</v>
      </c>
      <c r="L13">
        <f>K13*3.75</f>
        <v>111.75</v>
      </c>
    </row>
    <row r="14" spans="1:13" ht="15" hidden="1" thickBot="1" x14ac:dyDescent="0.4">
      <c r="K14" s="483">
        <f>K13*2</f>
        <v>59.6</v>
      </c>
      <c r="L14">
        <f>K14*3.75</f>
        <v>223.5</v>
      </c>
    </row>
    <row r="15" spans="1:13" x14ac:dyDescent="0.35">
      <c r="A15" s="485" t="s">
        <v>203</v>
      </c>
      <c r="B15" s="486">
        <v>250</v>
      </c>
    </row>
    <row r="16" spans="1:13" x14ac:dyDescent="0.35">
      <c r="A16" s="487" t="s">
        <v>208</v>
      </c>
      <c r="B16" s="488">
        <v>25</v>
      </c>
    </row>
    <row r="17" spans="1:13" ht="15" thickBot="1" x14ac:dyDescent="0.4">
      <c r="A17" s="489" t="s">
        <v>209</v>
      </c>
      <c r="B17" s="490">
        <v>25</v>
      </c>
    </row>
    <row r="20" spans="1:13" x14ac:dyDescent="0.35">
      <c r="A20" s="483" t="s">
        <v>205</v>
      </c>
      <c r="B20" s="378"/>
    </row>
    <row r="21" spans="1:13" x14ac:dyDescent="0.35">
      <c r="A21" t="s">
        <v>204</v>
      </c>
      <c r="B21">
        <v>9</v>
      </c>
    </row>
    <row r="22" spans="1:13" x14ac:dyDescent="0.35">
      <c r="A22" t="s">
        <v>206</v>
      </c>
      <c r="B22">
        <f>0.5/1000000</f>
        <v>4.9999999999999998E-7</v>
      </c>
    </row>
    <row r="23" spans="1:13" x14ac:dyDescent="0.35">
      <c r="A23" s="483" t="s">
        <v>207</v>
      </c>
      <c r="B23" s="543">
        <f>(B15*B16*B21*B22)</f>
        <v>2.8124999999999997E-2</v>
      </c>
    </row>
    <row r="26" spans="1:13" x14ac:dyDescent="0.35">
      <c r="M26" s="484" t="s">
        <v>245</v>
      </c>
    </row>
    <row r="29" spans="1:13" x14ac:dyDescent="0.35">
      <c r="A29" s="483" t="s">
        <v>244</v>
      </c>
    </row>
    <row r="30" spans="1:13" x14ac:dyDescent="0.35">
      <c r="A30" t="s">
        <v>243</v>
      </c>
      <c r="B30" s="378">
        <v>20000</v>
      </c>
    </row>
    <row r="31" spans="1:13" x14ac:dyDescent="0.35">
      <c r="A31" t="s">
        <v>206</v>
      </c>
      <c r="B31">
        <f>0.5/1000000</f>
        <v>4.9999999999999998E-7</v>
      </c>
    </row>
    <row r="32" spans="1:13" x14ac:dyDescent="0.35">
      <c r="A32" s="483" t="s">
        <v>207</v>
      </c>
      <c r="B32" s="543">
        <f>B30*B15*B31</f>
        <v>2.5</v>
      </c>
    </row>
    <row r="39" spans="1:2" x14ac:dyDescent="0.35">
      <c r="A39" s="483" t="s">
        <v>210</v>
      </c>
    </row>
    <row r="40" spans="1:2" x14ac:dyDescent="0.35">
      <c r="A40" t="str">
        <f>"Minutes per"&amp;" "&amp;B16&amp;" words"</f>
        <v>Minutes per 25 words</v>
      </c>
      <c r="B40" s="544">
        <f>((30/60)/B16)*B16</f>
        <v>0.5</v>
      </c>
    </row>
    <row r="41" spans="1:2" x14ac:dyDescent="0.35">
      <c r="A41" t="s">
        <v>211</v>
      </c>
      <c r="B41">
        <v>6.0000000000000001E-3</v>
      </c>
    </row>
    <row r="42" spans="1:2" x14ac:dyDescent="0.35">
      <c r="A42" s="483" t="s">
        <v>207</v>
      </c>
      <c r="B42" s="483">
        <f>B15*B40*B41</f>
        <v>0.75</v>
      </c>
    </row>
    <row r="50" spans="1:2" x14ac:dyDescent="0.35">
      <c r="A50" s="483" t="s">
        <v>212</v>
      </c>
    </row>
    <row r="51" spans="1:2" x14ac:dyDescent="0.35">
      <c r="A51" t="s">
        <v>204</v>
      </c>
      <c r="B51">
        <f>B21</f>
        <v>9</v>
      </c>
    </row>
    <row r="52" spans="1:2" x14ac:dyDescent="0.35">
      <c r="A52" t="s">
        <v>213</v>
      </c>
      <c r="B52">
        <f>1.5/1000000</f>
        <v>1.5E-6</v>
      </c>
    </row>
    <row r="53" spans="1:2" x14ac:dyDescent="0.35">
      <c r="A53" s="483" t="s">
        <v>207</v>
      </c>
      <c r="B53" s="483">
        <f>B15*B17*B51*B52</f>
        <v>8.4375000000000006E-2</v>
      </c>
    </row>
    <row r="61" spans="1:2" x14ac:dyDescent="0.35">
      <c r="A61" s="483" t="s">
        <v>223</v>
      </c>
    </row>
    <row r="62" spans="1:2" x14ac:dyDescent="0.35">
      <c r="A62" t="s">
        <v>214</v>
      </c>
      <c r="B62">
        <v>10</v>
      </c>
    </row>
    <row r="63" spans="1:2" x14ac:dyDescent="0.35">
      <c r="A63" t="s">
        <v>215</v>
      </c>
      <c r="B63">
        <f>15/1000000</f>
        <v>1.5E-5</v>
      </c>
    </row>
    <row r="64" spans="1:2" x14ac:dyDescent="0.35">
      <c r="A64" s="483" t="s">
        <v>207</v>
      </c>
      <c r="B64" s="491"/>
    </row>
    <row r="72" spans="1:15" x14ac:dyDescent="0.35">
      <c r="A72" s="483" t="s">
        <v>187</v>
      </c>
    </row>
    <row r="73" spans="1:15" x14ac:dyDescent="0.35">
      <c r="A73" t="str">
        <f>"Minutes per"&amp;" "&amp;B17&amp;" words"</f>
        <v>Minutes per 25 words</v>
      </c>
      <c r="B73" s="544">
        <f>20/60</f>
        <v>0.33333333333333331</v>
      </c>
    </row>
    <row r="74" spans="1:15" x14ac:dyDescent="0.35">
      <c r="A74" t="s">
        <v>211</v>
      </c>
      <c r="B74">
        <v>0.09</v>
      </c>
    </row>
    <row r="75" spans="1:15" x14ac:dyDescent="0.35">
      <c r="A75" s="483" t="s">
        <v>207</v>
      </c>
      <c r="B75" s="483">
        <f>B15*B73*B74</f>
        <v>7.4999999999999991</v>
      </c>
    </row>
    <row r="76" spans="1:15" x14ac:dyDescent="0.35">
      <c r="N76" s="505" t="s">
        <v>222</v>
      </c>
      <c r="O76" s="505"/>
    </row>
    <row r="81" spans="1:9" ht="15" thickBot="1" x14ac:dyDescent="0.4">
      <c r="C81">
        <f>C83/B15</f>
        <v>0.16293749999999999</v>
      </c>
      <c r="D81">
        <f>5/C81</f>
        <v>30.686612965093982</v>
      </c>
    </row>
    <row r="82" spans="1:9" x14ac:dyDescent="0.35">
      <c r="A82" s="492" t="s">
        <v>217</v>
      </c>
      <c r="B82" s="499" t="s">
        <v>218</v>
      </c>
      <c r="C82" s="499" t="s">
        <v>176</v>
      </c>
      <c r="D82" s="500" t="s">
        <v>186</v>
      </c>
      <c r="E82" s="501" t="s">
        <v>221</v>
      </c>
    </row>
    <row r="83" spans="1:9" x14ac:dyDescent="0.35">
      <c r="A83" s="493" t="s">
        <v>216</v>
      </c>
      <c r="B83" s="494">
        <f>B23+B32+B42+B53+B64+B75</f>
        <v>10.862499999999999</v>
      </c>
      <c r="C83" s="494">
        <f>B83*3.75</f>
        <v>40.734374999999993</v>
      </c>
      <c r="D83" s="495">
        <f>B83*0.31</f>
        <v>3.3673749999999996</v>
      </c>
      <c r="E83" s="502">
        <f>C83/300</f>
        <v>0.13578124999999996</v>
      </c>
      <c r="F83" s="378">
        <f>C83+'1000 calc'!C75</f>
        <v>44.109374999999993</v>
      </c>
      <c r="G83" s="509">
        <f>'year 1'!P24</f>
        <v>5044545</v>
      </c>
      <c r="H83" s="509">
        <f>'year 2'!P24</f>
        <v>14012624.999999998</v>
      </c>
      <c r="I83" s="509">
        <f>KWT!P24</f>
        <v>40408.5</v>
      </c>
    </row>
    <row r="84" spans="1:9" x14ac:dyDescent="0.35">
      <c r="A84" s="493" t="s">
        <v>219</v>
      </c>
      <c r="B84" s="494">
        <f>B83*2</f>
        <v>21.724999999999998</v>
      </c>
      <c r="C84" s="494">
        <f>B84*3.75</f>
        <v>81.468749999999986</v>
      </c>
      <c r="D84" s="495">
        <f t="shared" ref="D84:D85" si="0">B84*0.31</f>
        <v>6.7347499999999991</v>
      </c>
      <c r="E84" s="502">
        <f t="shared" ref="E84:E85" si="1">C84/300</f>
        <v>0.27156249999999993</v>
      </c>
      <c r="F84" s="378">
        <f>C84+'1000 calc'!C76</f>
        <v>88.218749999999986</v>
      </c>
      <c r="G84" s="509">
        <f>'year 1'!P25</f>
        <v>417960</v>
      </c>
      <c r="H84" s="509">
        <f>'year 2'!P25</f>
        <v>1161000</v>
      </c>
      <c r="I84" s="509">
        <f>KWT!P25</f>
        <v>3348</v>
      </c>
    </row>
    <row r="85" spans="1:9" ht="15" thickBot="1" x14ac:dyDescent="0.4">
      <c r="A85" s="496" t="s">
        <v>220</v>
      </c>
      <c r="B85" s="497">
        <f>B84*2</f>
        <v>43.449999999999996</v>
      </c>
      <c r="C85" s="497">
        <f>B85*3.75</f>
        <v>162.93749999999997</v>
      </c>
      <c r="D85" s="498">
        <f t="shared" si="0"/>
        <v>13.469499999999998</v>
      </c>
      <c r="E85" s="503">
        <f t="shared" si="1"/>
        <v>0.54312499999999986</v>
      </c>
      <c r="F85" s="378">
        <f>C85+'1000 calc'!C77</f>
        <v>176.43749999999997</v>
      </c>
    </row>
    <row r="86" spans="1:9" x14ac:dyDescent="0.35">
      <c r="E86" s="504"/>
    </row>
  </sheetData>
  <hyperlinks>
    <hyperlink ref="M7" r:id="rId1" xr:uid="{F89E160A-4245-45AB-B38C-3103AA258C1F}"/>
    <hyperlink ref="M26" r:id="rId2" xr:uid="{22C765C7-116E-4417-9B06-0C0729526153}"/>
  </hyperlinks>
  <pageMargins left="0.7" right="0.7" top="0.75" bottom="0.75" header="0.3" footer="0.3"/>
  <pageSetup scale="50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704B-A7BE-48A3-AAD7-639A2DB0EAE6}">
  <dimension ref="A1:O78"/>
  <sheetViews>
    <sheetView showGridLines="0" view="pageBreakPreview" topLeftCell="A61" zoomScale="90" zoomScaleNormal="80" zoomScaleSheetLayoutView="90" workbookViewId="0">
      <selection activeCell="C75" sqref="C75"/>
    </sheetView>
  </sheetViews>
  <sheetFormatPr defaultRowHeight="14.5" x14ac:dyDescent="0.35"/>
  <cols>
    <col min="1" max="1" width="33.90625" customWidth="1"/>
    <col min="2" max="2" width="10.54296875" bestFit="1" customWidth="1"/>
    <col min="5" max="5" width="11" bestFit="1" customWidth="1"/>
    <col min="10" max="10" width="9.81640625" bestFit="1" customWidth="1"/>
  </cols>
  <sheetData>
    <row r="1" spans="1:13" hidden="1" x14ac:dyDescent="0.35">
      <c r="E1" t="s">
        <v>194</v>
      </c>
      <c r="J1" t="s">
        <v>193</v>
      </c>
    </row>
    <row r="2" spans="1:13" hidden="1" x14ac:dyDescent="0.35">
      <c r="B2" t="s">
        <v>188</v>
      </c>
      <c r="C2" t="s">
        <v>189</v>
      </c>
      <c r="E2" t="s">
        <v>190</v>
      </c>
      <c r="F2" t="s">
        <v>197</v>
      </c>
      <c r="G2" t="s">
        <v>191</v>
      </c>
      <c r="H2" t="s">
        <v>198</v>
      </c>
      <c r="I2" t="s">
        <v>201</v>
      </c>
      <c r="J2" t="s">
        <v>192</v>
      </c>
    </row>
    <row r="3" spans="1:13" hidden="1" x14ac:dyDescent="0.35">
      <c r="A3" t="s">
        <v>195</v>
      </c>
      <c r="B3">
        <v>250</v>
      </c>
      <c r="C3">
        <v>50</v>
      </c>
      <c r="E3">
        <v>6</v>
      </c>
      <c r="F3">
        <v>0</v>
      </c>
      <c r="G3">
        <f>B3*C3*E3</f>
        <v>75000</v>
      </c>
      <c r="J3">
        <v>0.5</v>
      </c>
      <c r="K3">
        <f>(J3/1000000)*G3</f>
        <v>3.7499999999999999E-2</v>
      </c>
    </row>
    <row r="4" spans="1:13" hidden="1" x14ac:dyDescent="0.35">
      <c r="A4" t="s">
        <v>196</v>
      </c>
      <c r="B4">
        <v>250</v>
      </c>
      <c r="C4">
        <v>50</v>
      </c>
      <c r="E4">
        <v>0</v>
      </c>
      <c r="F4">
        <v>0.5</v>
      </c>
      <c r="G4">
        <v>0</v>
      </c>
      <c r="H4">
        <v>6.0000000000000001E-3</v>
      </c>
      <c r="J4">
        <v>0</v>
      </c>
      <c r="K4">
        <f>B4*F4*H4</f>
        <v>0.75</v>
      </c>
    </row>
    <row r="5" spans="1:13" hidden="1" x14ac:dyDescent="0.35"/>
    <row r="6" spans="1:13" hidden="1" x14ac:dyDescent="0.35"/>
    <row r="7" spans="1:13" hidden="1" x14ac:dyDescent="0.35">
      <c r="A7" t="s">
        <v>199</v>
      </c>
      <c r="B7">
        <v>250</v>
      </c>
      <c r="C7">
        <v>50</v>
      </c>
      <c r="E7">
        <v>6</v>
      </c>
      <c r="F7">
        <v>0</v>
      </c>
      <c r="G7">
        <f>B7*C7*E7</f>
        <v>75000</v>
      </c>
      <c r="H7">
        <v>0</v>
      </c>
      <c r="I7">
        <v>0</v>
      </c>
      <c r="J7">
        <v>1.5</v>
      </c>
      <c r="K7">
        <f>(J7/1000000)*G7</f>
        <v>0.1125</v>
      </c>
      <c r="L7">
        <f>K7*10000</f>
        <v>1125</v>
      </c>
      <c r="M7" s="484" t="s">
        <v>202</v>
      </c>
    </row>
    <row r="8" spans="1:13" hidden="1" x14ac:dyDescent="0.35">
      <c r="A8" t="s">
        <v>200</v>
      </c>
      <c r="B8">
        <v>250</v>
      </c>
      <c r="C8">
        <v>50</v>
      </c>
      <c r="E8">
        <v>0</v>
      </c>
      <c r="F8">
        <v>0</v>
      </c>
      <c r="G8">
        <v>0</v>
      </c>
      <c r="H8">
        <v>0</v>
      </c>
      <c r="I8">
        <v>8</v>
      </c>
      <c r="J8">
        <v>15</v>
      </c>
      <c r="K8">
        <f>B8*C8*I8*(J8/1000000)</f>
        <v>1.5</v>
      </c>
    </row>
    <row r="9" spans="1:13" hidden="1" x14ac:dyDescent="0.35"/>
    <row r="10" spans="1:13" hidden="1" x14ac:dyDescent="0.35">
      <c r="A10" t="s">
        <v>187</v>
      </c>
      <c r="B10">
        <v>250</v>
      </c>
      <c r="C10">
        <v>50</v>
      </c>
      <c r="E10">
        <v>0</v>
      </c>
      <c r="F10">
        <v>0.5</v>
      </c>
      <c r="G10">
        <v>0</v>
      </c>
      <c r="H10">
        <v>0.1</v>
      </c>
      <c r="J10">
        <v>0</v>
      </c>
      <c r="K10">
        <f>B10*F10*H10</f>
        <v>12.5</v>
      </c>
    </row>
    <row r="11" spans="1:13" hidden="1" x14ac:dyDescent="0.35"/>
    <row r="12" spans="1:13" hidden="1" x14ac:dyDescent="0.35">
      <c r="K12" s="483">
        <f>SUM(K3:K10)</f>
        <v>14.9</v>
      </c>
      <c r="L12">
        <f>K12*3.75</f>
        <v>55.875</v>
      </c>
    </row>
    <row r="13" spans="1:13" hidden="1" x14ac:dyDescent="0.35">
      <c r="K13" s="483">
        <f>K12*2</f>
        <v>29.8</v>
      </c>
      <c r="L13">
        <f>K13*3.75</f>
        <v>111.75</v>
      </c>
    </row>
    <row r="14" spans="1:13" ht="15" hidden="1" thickBot="1" x14ac:dyDescent="0.4">
      <c r="K14" s="483">
        <f>K13*2</f>
        <v>59.6</v>
      </c>
      <c r="L14">
        <f>K14*3.75</f>
        <v>223.5</v>
      </c>
    </row>
    <row r="15" spans="1:13" x14ac:dyDescent="0.35">
      <c r="A15" s="485" t="s">
        <v>203</v>
      </c>
      <c r="B15" s="486">
        <v>1000</v>
      </c>
    </row>
    <row r="16" spans="1:13" x14ac:dyDescent="0.35">
      <c r="A16" s="487" t="s">
        <v>208</v>
      </c>
      <c r="B16" s="488">
        <v>50</v>
      </c>
    </row>
    <row r="17" spans="1:2" ht="15" thickBot="1" x14ac:dyDescent="0.4">
      <c r="A17" s="489" t="s">
        <v>209</v>
      </c>
      <c r="B17" s="490">
        <v>50</v>
      </c>
    </row>
    <row r="20" spans="1:2" x14ac:dyDescent="0.35">
      <c r="A20" s="483" t="s">
        <v>205</v>
      </c>
    </row>
    <row r="21" spans="1:2" x14ac:dyDescent="0.35">
      <c r="A21" t="s">
        <v>204</v>
      </c>
      <c r="B21">
        <v>9</v>
      </c>
    </row>
    <row r="22" spans="1:2" x14ac:dyDescent="0.35">
      <c r="A22" t="s">
        <v>206</v>
      </c>
      <c r="B22">
        <f>0.5/1000000</f>
        <v>4.9999999999999998E-7</v>
      </c>
    </row>
    <row r="23" spans="1:2" x14ac:dyDescent="0.35">
      <c r="A23" s="483" t="s">
        <v>207</v>
      </c>
      <c r="B23" s="483">
        <f>B15*B16*B21*B22</f>
        <v>0.22499999999999998</v>
      </c>
    </row>
    <row r="31" spans="1:2" x14ac:dyDescent="0.35">
      <c r="A31" s="483" t="s">
        <v>210</v>
      </c>
    </row>
    <row r="32" spans="1:2" x14ac:dyDescent="0.35">
      <c r="A32" t="str">
        <f>"Minutes per"&amp;" "&amp;B16&amp;" words"</f>
        <v>Minutes per 50 words</v>
      </c>
      <c r="B32">
        <f>(0.5/50)*B16</f>
        <v>0.5</v>
      </c>
    </row>
    <row r="33" spans="1:2" x14ac:dyDescent="0.35">
      <c r="A33" t="s">
        <v>211</v>
      </c>
      <c r="B33">
        <v>6.0000000000000001E-3</v>
      </c>
    </row>
    <row r="34" spans="1:2" x14ac:dyDescent="0.35">
      <c r="A34" s="483" t="s">
        <v>207</v>
      </c>
      <c r="B34" s="483"/>
    </row>
    <row r="42" spans="1:2" x14ac:dyDescent="0.35">
      <c r="A42" s="483" t="s">
        <v>212</v>
      </c>
    </row>
    <row r="43" spans="1:2" x14ac:dyDescent="0.35">
      <c r="A43" t="s">
        <v>204</v>
      </c>
      <c r="B43">
        <f>B21</f>
        <v>9</v>
      </c>
    </row>
    <row r="44" spans="1:2" x14ac:dyDescent="0.35">
      <c r="A44" t="s">
        <v>213</v>
      </c>
      <c r="B44">
        <f>1.5/1000000</f>
        <v>1.5E-6</v>
      </c>
    </row>
    <row r="45" spans="1:2" x14ac:dyDescent="0.35">
      <c r="A45" s="483" t="s">
        <v>207</v>
      </c>
      <c r="B45" s="483">
        <f>B15*B17*B43*B44</f>
        <v>0.67500000000000004</v>
      </c>
    </row>
    <row r="53" spans="1:2" x14ac:dyDescent="0.35">
      <c r="A53" s="483" t="s">
        <v>223</v>
      </c>
    </row>
    <row r="54" spans="1:2" x14ac:dyDescent="0.35">
      <c r="A54" t="s">
        <v>214</v>
      </c>
      <c r="B54">
        <v>10</v>
      </c>
    </row>
    <row r="55" spans="1:2" x14ac:dyDescent="0.35">
      <c r="A55" t="s">
        <v>215</v>
      </c>
      <c r="B55">
        <f>15/1000000</f>
        <v>1.5E-5</v>
      </c>
    </row>
    <row r="56" spans="1:2" x14ac:dyDescent="0.35">
      <c r="A56" s="483" t="s">
        <v>207</v>
      </c>
      <c r="B56" s="491"/>
    </row>
    <row r="64" spans="1:2" x14ac:dyDescent="0.35">
      <c r="A64" s="483" t="s">
        <v>187</v>
      </c>
    </row>
    <row r="65" spans="1:15" x14ac:dyDescent="0.35">
      <c r="A65" t="str">
        <f>"Minutes per"&amp;" "&amp;B17&amp;" words"</f>
        <v>Minutes per 50 words</v>
      </c>
      <c r="B65">
        <f>(0.5/50)*B17</f>
        <v>0.5</v>
      </c>
    </row>
    <row r="66" spans="1:15" x14ac:dyDescent="0.35">
      <c r="A66" t="s">
        <v>211</v>
      </c>
      <c r="B66">
        <v>0.1</v>
      </c>
    </row>
    <row r="67" spans="1:15" x14ac:dyDescent="0.35">
      <c r="A67" s="483" t="s">
        <v>207</v>
      </c>
      <c r="B67" s="506"/>
    </row>
    <row r="68" spans="1:15" x14ac:dyDescent="0.35">
      <c r="N68" s="505" t="s">
        <v>222</v>
      </c>
      <c r="O68" s="505"/>
    </row>
    <row r="73" spans="1:15" ht="15" thickBot="1" x14ac:dyDescent="0.4"/>
    <row r="74" spans="1:15" x14ac:dyDescent="0.35">
      <c r="A74" s="492" t="s">
        <v>217</v>
      </c>
      <c r="B74" s="499" t="s">
        <v>218</v>
      </c>
      <c r="C74" s="499" t="s">
        <v>176</v>
      </c>
      <c r="D74" s="500" t="s">
        <v>186</v>
      </c>
      <c r="E74" s="501" t="s">
        <v>221</v>
      </c>
    </row>
    <row r="75" spans="1:15" x14ac:dyDescent="0.35">
      <c r="A75" s="493" t="s">
        <v>220</v>
      </c>
      <c r="B75" s="494">
        <f>B23+B34+B45+B56+B67</f>
        <v>0.9</v>
      </c>
      <c r="C75" s="494">
        <f>B75*3.75</f>
        <v>3.375</v>
      </c>
      <c r="D75" s="507">
        <f>B75*0.31</f>
        <v>0.27900000000000003</v>
      </c>
      <c r="E75" s="502">
        <f>C75/300</f>
        <v>1.125E-2</v>
      </c>
    </row>
    <row r="76" spans="1:15" x14ac:dyDescent="0.35">
      <c r="A76" s="493" t="s">
        <v>225</v>
      </c>
      <c r="B76" s="494">
        <f>B75*2</f>
        <v>1.8</v>
      </c>
      <c r="C76" s="494">
        <f>B76*3.75</f>
        <v>6.75</v>
      </c>
      <c r="D76" s="507">
        <f t="shared" ref="D76:D77" si="0">B76*0.31</f>
        <v>0.55800000000000005</v>
      </c>
      <c r="E76" s="502">
        <f t="shared" ref="E76:E77" si="1">C76/300</f>
        <v>2.2499999999999999E-2</v>
      </c>
    </row>
    <row r="77" spans="1:15" ht="15" thickBot="1" x14ac:dyDescent="0.4">
      <c r="A77" s="496" t="s">
        <v>226</v>
      </c>
      <c r="B77" s="497">
        <f>B76*2</f>
        <v>3.6</v>
      </c>
      <c r="C77" s="497">
        <f>B77*3.75</f>
        <v>13.5</v>
      </c>
      <c r="D77" s="508">
        <f t="shared" si="0"/>
        <v>1.1160000000000001</v>
      </c>
      <c r="E77" s="503">
        <f t="shared" si="1"/>
        <v>4.4999999999999998E-2</v>
      </c>
    </row>
    <row r="78" spans="1:15" x14ac:dyDescent="0.35">
      <c r="E78" s="504"/>
    </row>
  </sheetData>
  <hyperlinks>
    <hyperlink ref="M7" r:id="rId1" xr:uid="{4A72CFBF-2B48-4008-AEC1-074524D16233}"/>
  </hyperlinks>
  <pageMargins left="0.7" right="0.7" top="0.75" bottom="0.75" header="0.3" footer="0.3"/>
  <pageSetup scale="50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25FE7-D06F-4644-9CCA-D95352F035CF}">
  <dimension ref="C3:J31"/>
  <sheetViews>
    <sheetView showGridLines="0" topLeftCell="A9" workbookViewId="0">
      <selection activeCell="F12" sqref="F12"/>
    </sheetView>
  </sheetViews>
  <sheetFormatPr defaultRowHeight="14.5" x14ac:dyDescent="0.35"/>
  <cols>
    <col min="3" max="3" width="15.08984375" bestFit="1" customWidth="1"/>
    <col min="4" max="5" width="13.1796875" customWidth="1"/>
    <col min="6" max="6" width="12.453125" customWidth="1"/>
    <col min="7" max="7" width="13.6328125" bestFit="1" customWidth="1"/>
    <col min="8" max="9" width="13.1796875" customWidth="1"/>
    <col min="10" max="10" width="10" bestFit="1" customWidth="1"/>
  </cols>
  <sheetData>
    <row r="3" spans="3:9" s="510" customFormat="1" x14ac:dyDescent="0.35">
      <c r="D3" s="534" t="s">
        <v>231</v>
      </c>
      <c r="E3" s="534" t="s">
        <v>230</v>
      </c>
    </row>
    <row r="4" spans="3:9" ht="15" thickBot="1" x14ac:dyDescent="0.4">
      <c r="C4" s="524" t="s">
        <v>238</v>
      </c>
    </row>
    <row r="5" spans="3:9" x14ac:dyDescent="0.35">
      <c r="C5" s="525" t="s">
        <v>232</v>
      </c>
      <c r="D5" s="526">
        <v>1</v>
      </c>
      <c r="E5" s="527">
        <f>'year 1'!P11</f>
        <v>123840</v>
      </c>
    </row>
    <row r="6" spans="3:9" x14ac:dyDescent="0.35">
      <c r="C6" s="528" t="s">
        <v>229</v>
      </c>
      <c r="D6" s="529">
        <v>300</v>
      </c>
      <c r="E6" s="530">
        <v>300</v>
      </c>
    </row>
    <row r="7" spans="3:9" x14ac:dyDescent="0.35">
      <c r="C7" s="514" t="s">
        <v>233</v>
      </c>
      <c r="D7" s="511">
        <f>D6*D5</f>
        <v>300</v>
      </c>
      <c r="E7" s="515">
        <f>E6*E5</f>
        <v>37152000</v>
      </c>
    </row>
    <row r="8" spans="3:9" x14ac:dyDescent="0.35">
      <c r="C8" s="516" t="s">
        <v>234</v>
      </c>
      <c r="D8" s="512">
        <f>E8/E5</f>
        <v>90.251967982881126</v>
      </c>
      <c r="E8" s="517">
        <f>'year 1'!P46</f>
        <v>11176803.714999998</v>
      </c>
    </row>
    <row r="9" spans="3:9" x14ac:dyDescent="0.35">
      <c r="C9" s="518" t="s">
        <v>235</v>
      </c>
      <c r="D9" s="519">
        <f>D7-D8</f>
        <v>209.74803201711887</v>
      </c>
      <c r="E9" s="520">
        <f>E7-E8</f>
        <v>25975196.285000004</v>
      </c>
    </row>
    <row r="10" spans="3:9" ht="15" thickBot="1" x14ac:dyDescent="0.4">
      <c r="C10" s="521" t="s">
        <v>236</v>
      </c>
      <c r="D10" s="522">
        <f>D9/D7</f>
        <v>0.69916010672372952</v>
      </c>
      <c r="E10" s="523">
        <f>E9/E7</f>
        <v>0.69916010672372964</v>
      </c>
    </row>
    <row r="11" spans="3:9" x14ac:dyDescent="0.35">
      <c r="D11" s="378"/>
      <c r="E11" s="378"/>
      <c r="H11" s="534" t="s">
        <v>231</v>
      </c>
      <c r="I11" s="534" t="s">
        <v>230</v>
      </c>
    </row>
    <row r="12" spans="3:9" ht="15" thickBot="1" x14ac:dyDescent="0.4">
      <c r="C12" s="524" t="s">
        <v>237</v>
      </c>
      <c r="D12" s="625">
        <v>0.1</v>
      </c>
      <c r="E12" s="625"/>
      <c r="G12" s="524" t="s">
        <v>237</v>
      </c>
      <c r="H12" s="625">
        <v>0.3</v>
      </c>
      <c r="I12" s="625"/>
    </row>
    <row r="13" spans="3:9" x14ac:dyDescent="0.35">
      <c r="C13" s="531" t="s">
        <v>233</v>
      </c>
      <c r="D13" s="532">
        <f>D7*(1-D12)</f>
        <v>270</v>
      </c>
      <c r="E13" s="533">
        <f>E7*(1-D12)</f>
        <v>33436800</v>
      </c>
      <c r="G13" s="531" t="s">
        <v>233</v>
      </c>
      <c r="H13" s="532">
        <f>D7*(1-H12)</f>
        <v>210</v>
      </c>
      <c r="I13" s="533">
        <f>E7*(1-H12)</f>
        <v>26006400</v>
      </c>
    </row>
    <row r="14" spans="3:9" x14ac:dyDescent="0.35">
      <c r="C14" s="516" t="s">
        <v>234</v>
      </c>
      <c r="D14" s="512">
        <f>D8</f>
        <v>90.251967982881126</v>
      </c>
      <c r="E14" s="517">
        <f>E8</f>
        <v>11176803.714999998</v>
      </c>
      <c r="G14" s="516" t="s">
        <v>234</v>
      </c>
      <c r="H14" s="512">
        <f>D8</f>
        <v>90.251967982881126</v>
      </c>
      <c r="I14" s="517">
        <f>E8</f>
        <v>11176803.714999998</v>
      </c>
    </row>
    <row r="15" spans="3:9" x14ac:dyDescent="0.35">
      <c r="C15" s="518" t="s">
        <v>235</v>
      </c>
      <c r="D15" s="519">
        <f>D13-D14</f>
        <v>179.74803201711887</v>
      </c>
      <c r="E15" s="520">
        <f>E13-E14</f>
        <v>22259996.285000004</v>
      </c>
      <c r="G15" s="518" t="s">
        <v>235</v>
      </c>
      <c r="H15" s="519">
        <f>H13-H14</f>
        <v>119.74803201711887</v>
      </c>
      <c r="I15" s="520">
        <f>I13-I14</f>
        <v>14829596.285000002</v>
      </c>
    </row>
    <row r="16" spans="3:9" ht="15" thickBot="1" x14ac:dyDescent="0.4">
      <c r="C16" s="521" t="s">
        <v>236</v>
      </c>
      <c r="D16" s="522">
        <f>D15/D13</f>
        <v>0.66573345191525513</v>
      </c>
      <c r="E16" s="523">
        <f>E15/E13</f>
        <v>0.66573345191525513</v>
      </c>
      <c r="G16" s="521" t="s">
        <v>236</v>
      </c>
      <c r="H16" s="522">
        <f>H15/H13</f>
        <v>0.57022872389104229</v>
      </c>
      <c r="I16" s="523">
        <f>I15/I13</f>
        <v>0.57022872389104229</v>
      </c>
    </row>
    <row r="18" spans="3:10" ht="15" thickBot="1" x14ac:dyDescent="0.4">
      <c r="C18" s="524" t="s">
        <v>237</v>
      </c>
      <c r="D18" s="625">
        <v>0.2</v>
      </c>
      <c r="E18" s="625"/>
      <c r="G18" s="524" t="s">
        <v>237</v>
      </c>
      <c r="H18" s="625">
        <v>0.4</v>
      </c>
      <c r="I18" s="625"/>
    </row>
    <row r="19" spans="3:10" x14ac:dyDescent="0.35">
      <c r="C19" s="531" t="s">
        <v>233</v>
      </c>
      <c r="D19" s="532">
        <f>D7*(1-D18)</f>
        <v>240</v>
      </c>
      <c r="E19" s="533">
        <f>E7*(1-D18)</f>
        <v>29721600</v>
      </c>
      <c r="G19" s="531" t="s">
        <v>233</v>
      </c>
      <c r="H19" s="532">
        <f>D7*(1-H18)</f>
        <v>180</v>
      </c>
      <c r="I19" s="533">
        <f>E7*(1-H18)</f>
        <v>22291200</v>
      </c>
    </row>
    <row r="20" spans="3:10" x14ac:dyDescent="0.35">
      <c r="C20" s="516" t="s">
        <v>234</v>
      </c>
      <c r="D20" s="512">
        <f>D8</f>
        <v>90.251967982881126</v>
      </c>
      <c r="E20" s="517">
        <f>E8</f>
        <v>11176803.714999998</v>
      </c>
      <c r="G20" s="516" t="s">
        <v>234</v>
      </c>
      <c r="H20" s="512">
        <f>D8</f>
        <v>90.251967982881126</v>
      </c>
      <c r="I20" s="517">
        <f>E8</f>
        <v>11176803.714999998</v>
      </c>
    </row>
    <row r="21" spans="3:10" x14ac:dyDescent="0.35">
      <c r="C21" s="518" t="s">
        <v>235</v>
      </c>
      <c r="D21" s="519">
        <f>D19-D20</f>
        <v>149.74803201711887</v>
      </c>
      <c r="E21" s="520">
        <f>E19-E20</f>
        <v>18544796.285000004</v>
      </c>
      <c r="G21" s="518" t="s">
        <v>235</v>
      </c>
      <c r="H21" s="519">
        <f>H19-H20</f>
        <v>89.748032017118874</v>
      </c>
      <c r="I21" s="520">
        <f>I19-I20</f>
        <v>11114396.285000002</v>
      </c>
    </row>
    <row r="22" spans="3:10" ht="15" thickBot="1" x14ac:dyDescent="0.4">
      <c r="C22" s="521" t="s">
        <v>236</v>
      </c>
      <c r="D22" s="522">
        <f>D21/D19</f>
        <v>0.62395013340466199</v>
      </c>
      <c r="E22" s="523">
        <f>E21/E19</f>
        <v>0.6239501334046621</v>
      </c>
      <c r="G22" s="521" t="s">
        <v>236</v>
      </c>
      <c r="H22" s="522">
        <f>H21/H19</f>
        <v>0.49860017787288263</v>
      </c>
      <c r="I22" s="523">
        <f>I21/I19</f>
        <v>0.49860017787288269</v>
      </c>
    </row>
    <row r="23" spans="3:10" x14ac:dyDescent="0.35">
      <c r="D23" s="541"/>
      <c r="E23" s="541"/>
      <c r="H23" s="541"/>
      <c r="I23" s="541"/>
    </row>
    <row r="24" spans="3:10" ht="15" thickBot="1" x14ac:dyDescent="0.4"/>
    <row r="25" spans="3:10" x14ac:dyDescent="0.35">
      <c r="C25" s="513"/>
      <c r="D25" s="535" t="s">
        <v>239</v>
      </c>
      <c r="E25" s="535"/>
      <c r="F25" s="535" t="s">
        <v>241</v>
      </c>
      <c r="G25" s="535"/>
      <c r="H25" s="535" t="s">
        <v>240</v>
      </c>
      <c r="I25" s="542" t="s">
        <v>242</v>
      </c>
    </row>
    <row r="26" spans="3:10" x14ac:dyDescent="0.35">
      <c r="C26" s="536" t="s">
        <v>238</v>
      </c>
      <c r="D26">
        <v>0</v>
      </c>
      <c r="F26" s="385">
        <v>0</v>
      </c>
      <c r="H26" s="385">
        <f>E9</f>
        <v>25975196.285000004</v>
      </c>
      <c r="I26" s="537">
        <f>D10</f>
        <v>0.69916010672372952</v>
      </c>
      <c r="J26" s="385"/>
    </row>
    <row r="27" spans="3:10" x14ac:dyDescent="0.35">
      <c r="C27" s="536" t="str">
        <f>C12&amp;" "&amp; D12</f>
        <v>Discount 0.1</v>
      </c>
      <c r="D27">
        <v>30</v>
      </c>
      <c r="F27" s="385">
        <f>H27-$H$26</f>
        <v>-3715200</v>
      </c>
      <c r="H27" s="385">
        <f>E15</f>
        <v>22259996.285000004</v>
      </c>
      <c r="I27" s="537">
        <f>D16</f>
        <v>0.66573345191525513</v>
      </c>
      <c r="J27" s="385"/>
    </row>
    <row r="28" spans="3:10" x14ac:dyDescent="0.35">
      <c r="C28" s="536" t="str">
        <f>C18&amp;" "&amp; D18</f>
        <v>Discount 0.2</v>
      </c>
      <c r="D28">
        <v>60</v>
      </c>
      <c r="F28" s="385">
        <f>H28-$H$26</f>
        <v>-7430400</v>
      </c>
      <c r="H28" s="385">
        <f>E21</f>
        <v>18544796.285000004</v>
      </c>
      <c r="I28" s="537">
        <f>D22</f>
        <v>0.62395013340466199</v>
      </c>
      <c r="J28" s="385"/>
    </row>
    <row r="29" spans="3:10" x14ac:dyDescent="0.35">
      <c r="C29" s="536" t="str">
        <f>G12&amp;" "&amp; H12</f>
        <v>Discount 0.3</v>
      </c>
      <c r="D29">
        <v>90</v>
      </c>
      <c r="F29" s="385">
        <f>H29-$H$26</f>
        <v>-11145600.000000002</v>
      </c>
      <c r="H29" s="385">
        <f>I15</f>
        <v>14829596.285000002</v>
      </c>
      <c r="I29" s="537">
        <f>H16</f>
        <v>0.57022872389104229</v>
      </c>
      <c r="J29" s="385"/>
    </row>
    <row r="30" spans="3:10" ht="15" thickBot="1" x14ac:dyDescent="0.4">
      <c r="C30" s="521" t="str">
        <f>G18&amp;" "&amp; H18</f>
        <v>Discount 0.4</v>
      </c>
      <c r="D30" s="538">
        <v>120</v>
      </c>
      <c r="E30" s="538"/>
      <c r="F30" s="539">
        <f>H30-$H$26</f>
        <v>-14860800.000000002</v>
      </c>
      <c r="G30" s="538"/>
      <c r="H30" s="539">
        <f>I21</f>
        <v>11114396.285000002</v>
      </c>
      <c r="I30" s="540">
        <f>H22</f>
        <v>0.49860017787288263</v>
      </c>
      <c r="J30" s="385"/>
    </row>
    <row r="31" spans="3:10" x14ac:dyDescent="0.35">
      <c r="D31" s="385"/>
    </row>
  </sheetData>
  <mergeCells count="4">
    <mergeCell ref="D12:E12"/>
    <mergeCell ref="D18:E18"/>
    <mergeCell ref="H18:I18"/>
    <mergeCell ref="H12:I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B54E-F656-4F4A-8C27-8F53C7B10A58}">
  <dimension ref="A1:O34"/>
  <sheetViews>
    <sheetView showGridLines="0" zoomScale="70" zoomScaleNormal="70" workbookViewId="0">
      <selection activeCell="I17" sqref="I17:K17"/>
    </sheetView>
  </sheetViews>
  <sheetFormatPr defaultRowHeight="15.5" x14ac:dyDescent="0.35"/>
  <cols>
    <col min="1" max="1" width="34.08984375" bestFit="1" customWidth="1"/>
    <col min="2" max="14" width="11.6328125" customWidth="1"/>
    <col min="15" max="15" width="14.54296875" style="375" bestFit="1" customWidth="1"/>
  </cols>
  <sheetData>
    <row r="1" spans="1:15" x14ac:dyDescent="0.35">
      <c r="N1" s="570" t="s">
        <v>252</v>
      </c>
    </row>
    <row r="3" spans="1:15" ht="21" x14ac:dyDescent="0.35">
      <c r="A3" s="545" t="s">
        <v>265</v>
      </c>
      <c r="B3" s="545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92"/>
    </row>
    <row r="4" spans="1:15" ht="9.5" customHeight="1" thickBot="1" x14ac:dyDescent="0.4">
      <c r="A4" s="547"/>
      <c r="B4" s="547"/>
      <c r="O4" s="593"/>
    </row>
    <row r="5" spans="1:15" ht="21.5" thickBot="1" x14ac:dyDescent="0.4">
      <c r="A5" s="605"/>
      <c r="B5" s="564"/>
      <c r="C5" s="548">
        <v>45292</v>
      </c>
      <c r="D5" s="549">
        <v>45323</v>
      </c>
      <c r="E5" s="549">
        <v>45352</v>
      </c>
      <c r="F5" s="549">
        <v>45383</v>
      </c>
      <c r="G5" s="549">
        <v>45413</v>
      </c>
      <c r="H5" s="549">
        <v>45444</v>
      </c>
      <c r="I5" s="549">
        <v>45474</v>
      </c>
      <c r="J5" s="549">
        <v>45505</v>
      </c>
      <c r="K5" s="549">
        <v>45536</v>
      </c>
      <c r="L5" s="549">
        <v>45566</v>
      </c>
      <c r="M5" s="549">
        <v>45597</v>
      </c>
      <c r="N5" s="549">
        <v>45627</v>
      </c>
      <c r="O5" s="594" t="s">
        <v>148</v>
      </c>
    </row>
    <row r="6" spans="1:15" ht="16" thickBot="1" x14ac:dyDescent="0.4">
      <c r="A6" s="620" t="s">
        <v>264</v>
      </c>
      <c r="B6" s="621">
        <f>69447.62+(413*12.2)</f>
        <v>74486.22</v>
      </c>
      <c r="C6" s="623">
        <f>B6</f>
        <v>74486.22</v>
      </c>
      <c r="D6" s="624">
        <f>C34</f>
        <v>44825.97</v>
      </c>
      <c r="E6" s="624">
        <f t="shared" ref="E6:O6" si="0">D34</f>
        <v>157260.71999999997</v>
      </c>
      <c r="F6" s="624">
        <f t="shared" si="0"/>
        <v>-19285.130000000034</v>
      </c>
      <c r="G6" s="624">
        <f t="shared" si="0"/>
        <v>795656.34100000001</v>
      </c>
      <c r="H6" s="624">
        <f t="shared" si="0"/>
        <v>597356.56099999999</v>
      </c>
      <c r="I6" s="624">
        <f t="shared" si="0"/>
        <v>1387520.4409999999</v>
      </c>
      <c r="J6" s="624">
        <f t="shared" si="0"/>
        <v>2675611.9209999996</v>
      </c>
      <c r="K6" s="624">
        <f t="shared" si="0"/>
        <v>1089727.5879999995</v>
      </c>
      <c r="L6" s="624">
        <f t="shared" si="0"/>
        <v>855116.72599999956</v>
      </c>
      <c r="M6" s="624">
        <f t="shared" si="0"/>
        <v>644116.72599999956</v>
      </c>
      <c r="N6" s="624">
        <f t="shared" si="0"/>
        <v>433116.72599999956</v>
      </c>
      <c r="O6" s="622">
        <f t="shared" si="0"/>
        <v>146526.32599999954</v>
      </c>
    </row>
    <row r="7" spans="1:15" x14ac:dyDescent="0.35">
      <c r="A7" s="606" t="s">
        <v>261</v>
      </c>
      <c r="B7" s="571"/>
      <c r="C7" s="579">
        <f>10000*12.2</f>
        <v>122000</v>
      </c>
      <c r="D7" s="580">
        <f>22000*12.2</f>
        <v>268400</v>
      </c>
      <c r="E7" s="580">
        <v>0</v>
      </c>
      <c r="F7" s="580">
        <v>0</v>
      </c>
      <c r="G7" s="580">
        <v>0</v>
      </c>
      <c r="H7" s="580">
        <v>0</v>
      </c>
      <c r="I7" s="580">
        <v>0</v>
      </c>
      <c r="J7" s="580">
        <v>0</v>
      </c>
      <c r="K7" s="580">
        <v>0</v>
      </c>
      <c r="L7" s="580">
        <v>0</v>
      </c>
      <c r="M7" s="580">
        <v>0</v>
      </c>
      <c r="N7" s="580">
        <v>0</v>
      </c>
      <c r="O7" s="591">
        <f t="shared" ref="O7" si="1">SUM(B7:N7)</f>
        <v>390400</v>
      </c>
    </row>
    <row r="8" spans="1:15" x14ac:dyDescent="0.35">
      <c r="A8" s="606" t="s">
        <v>253</v>
      </c>
      <c r="B8" s="571"/>
      <c r="C8" s="579">
        <v>0</v>
      </c>
      <c r="D8" s="580">
        <v>0</v>
      </c>
      <c r="E8" s="580">
        <v>0</v>
      </c>
      <c r="F8" s="580">
        <v>1000000</v>
      </c>
      <c r="G8" s="580">
        <v>0</v>
      </c>
      <c r="H8" s="580">
        <v>1000000</v>
      </c>
      <c r="I8" s="580">
        <f>1000000+500000</f>
        <v>1500000</v>
      </c>
      <c r="J8" s="580">
        <v>0</v>
      </c>
      <c r="K8" s="580">
        <v>0</v>
      </c>
      <c r="L8" s="580">
        <v>0</v>
      </c>
      <c r="M8" s="580">
        <v>0</v>
      </c>
      <c r="N8" s="580">
        <v>0</v>
      </c>
      <c r="O8" s="591">
        <f t="shared" ref="O8:O12" si="2">SUM(B8:N8)</f>
        <v>3500000</v>
      </c>
    </row>
    <row r="9" spans="1:15" hidden="1" x14ac:dyDescent="0.35">
      <c r="A9" s="606" t="s">
        <v>254</v>
      </c>
      <c r="B9" s="571"/>
      <c r="C9" s="579">
        <v>0</v>
      </c>
      <c r="D9" s="580">
        <v>0</v>
      </c>
      <c r="E9" s="580">
        <v>0</v>
      </c>
      <c r="F9" s="580">
        <v>0</v>
      </c>
      <c r="G9" s="580">
        <v>0</v>
      </c>
      <c r="H9" s="580">
        <v>0</v>
      </c>
      <c r="I9" s="580">
        <v>0</v>
      </c>
      <c r="J9" s="580">
        <v>0</v>
      </c>
      <c r="K9" s="580">
        <v>0</v>
      </c>
      <c r="L9" s="580">
        <v>0</v>
      </c>
      <c r="M9" s="580">
        <v>0</v>
      </c>
      <c r="N9" s="580">
        <v>0</v>
      </c>
      <c r="O9" s="591">
        <f t="shared" si="2"/>
        <v>0</v>
      </c>
    </row>
    <row r="10" spans="1:15" hidden="1" x14ac:dyDescent="0.35">
      <c r="A10" s="606"/>
      <c r="B10" s="571"/>
      <c r="C10" s="579">
        <v>0</v>
      </c>
      <c r="D10" s="580">
        <v>0</v>
      </c>
      <c r="E10" s="580">
        <v>0</v>
      </c>
      <c r="F10" s="580">
        <v>0</v>
      </c>
      <c r="G10" s="580">
        <v>0</v>
      </c>
      <c r="H10" s="580">
        <v>0</v>
      </c>
      <c r="I10" s="580">
        <v>0</v>
      </c>
      <c r="J10" s="580">
        <v>0</v>
      </c>
      <c r="K10" s="580">
        <v>0</v>
      </c>
      <c r="L10" s="580">
        <v>0</v>
      </c>
      <c r="M10" s="580">
        <v>0</v>
      </c>
      <c r="N10" s="580">
        <v>0</v>
      </c>
      <c r="O10" s="591">
        <f t="shared" ref="O10:O11" si="3">SUM(B10:N10)</f>
        <v>0</v>
      </c>
    </row>
    <row r="11" spans="1:15" hidden="1" x14ac:dyDescent="0.35">
      <c r="A11" s="606"/>
      <c r="B11" s="571"/>
      <c r="C11" s="579">
        <v>0</v>
      </c>
      <c r="D11" s="580">
        <v>0</v>
      </c>
      <c r="E11" s="580">
        <v>0</v>
      </c>
      <c r="F11" s="580">
        <v>0</v>
      </c>
      <c r="G11" s="580">
        <v>0</v>
      </c>
      <c r="H11" s="580">
        <v>0</v>
      </c>
      <c r="I11" s="580">
        <v>0</v>
      </c>
      <c r="J11" s="580">
        <v>0</v>
      </c>
      <c r="K11" s="580">
        <v>0</v>
      </c>
      <c r="L11" s="580">
        <v>0</v>
      </c>
      <c r="M11" s="580">
        <v>0</v>
      </c>
      <c r="N11" s="580">
        <v>0</v>
      </c>
      <c r="O11" s="591">
        <f t="shared" si="3"/>
        <v>0</v>
      </c>
    </row>
    <row r="12" spans="1:15" x14ac:dyDescent="0.35">
      <c r="A12" s="607" t="s">
        <v>262</v>
      </c>
      <c r="B12" s="578">
        <f>SUM(B6:B11)</f>
        <v>74486.22</v>
      </c>
      <c r="C12" s="581">
        <f>SUM(C7:C11)</f>
        <v>122000</v>
      </c>
      <c r="D12" s="582">
        <f t="shared" ref="D12:N12" si="4">SUM(D7:D11)</f>
        <v>268400</v>
      </c>
      <c r="E12" s="582">
        <f t="shared" si="4"/>
        <v>0</v>
      </c>
      <c r="F12" s="582">
        <f t="shared" si="4"/>
        <v>1000000</v>
      </c>
      <c r="G12" s="582">
        <f t="shared" si="4"/>
        <v>0</v>
      </c>
      <c r="H12" s="582">
        <f t="shared" si="4"/>
        <v>1000000</v>
      </c>
      <c r="I12" s="582">
        <f t="shared" si="4"/>
        <v>1500000</v>
      </c>
      <c r="J12" s="582">
        <f t="shared" si="4"/>
        <v>0</v>
      </c>
      <c r="K12" s="582">
        <f t="shared" si="4"/>
        <v>0</v>
      </c>
      <c r="L12" s="582">
        <f t="shared" si="4"/>
        <v>0</v>
      </c>
      <c r="M12" s="582">
        <f t="shared" si="4"/>
        <v>0</v>
      </c>
      <c r="N12" s="582">
        <f t="shared" si="4"/>
        <v>0</v>
      </c>
      <c r="O12" s="595">
        <f t="shared" si="2"/>
        <v>3964886.2199999997</v>
      </c>
    </row>
    <row r="13" spans="1:15" hidden="1" x14ac:dyDescent="0.35">
      <c r="A13" s="608" t="s">
        <v>249</v>
      </c>
      <c r="B13" s="572"/>
      <c r="C13" s="573">
        <v>0</v>
      </c>
      <c r="D13" s="574">
        <v>0</v>
      </c>
      <c r="E13" s="574">
        <v>0</v>
      </c>
      <c r="F13" s="574">
        <v>0</v>
      </c>
      <c r="G13" s="574">
        <v>0</v>
      </c>
      <c r="H13" s="574">
        <v>0</v>
      </c>
      <c r="I13" s="574">
        <v>0</v>
      </c>
      <c r="J13" s="574">
        <v>0</v>
      </c>
      <c r="K13" s="574">
        <v>0</v>
      </c>
      <c r="L13" s="574">
        <v>0</v>
      </c>
      <c r="M13" s="574">
        <v>0</v>
      </c>
      <c r="N13" s="575">
        <v>0</v>
      </c>
      <c r="O13" s="596">
        <f>SUM(C13:N13)</f>
        <v>0</v>
      </c>
    </row>
    <row r="14" spans="1:15" hidden="1" x14ac:dyDescent="0.35">
      <c r="A14" s="609" t="s">
        <v>250</v>
      </c>
      <c r="B14" s="565"/>
      <c r="C14" s="558">
        <v>0</v>
      </c>
      <c r="D14" s="550">
        <v>0</v>
      </c>
      <c r="E14" s="550">
        <v>0</v>
      </c>
      <c r="F14" s="550">
        <v>0</v>
      </c>
      <c r="G14" s="550">
        <v>0</v>
      </c>
      <c r="H14" s="550">
        <v>0</v>
      </c>
      <c r="I14" s="550">
        <v>0</v>
      </c>
      <c r="J14" s="550">
        <v>0</v>
      </c>
      <c r="K14" s="550">
        <v>0</v>
      </c>
      <c r="L14" s="550">
        <v>0</v>
      </c>
      <c r="M14" s="550">
        <v>0</v>
      </c>
      <c r="N14" s="559">
        <v>0</v>
      </c>
      <c r="O14" s="596">
        <f t="shared" ref="O14:O28" si="5">SUM(C14:N14)</f>
        <v>0</v>
      </c>
    </row>
    <row r="15" spans="1:15" hidden="1" x14ac:dyDescent="0.35">
      <c r="A15" s="610" t="s">
        <v>246</v>
      </c>
      <c r="B15" s="566"/>
      <c r="C15" s="560">
        <f t="shared" ref="C15:N15" si="6">SUM(C13:C14)</f>
        <v>0</v>
      </c>
      <c r="D15" s="551">
        <f t="shared" si="6"/>
        <v>0</v>
      </c>
      <c r="E15" s="551">
        <f t="shared" si="6"/>
        <v>0</v>
      </c>
      <c r="F15" s="551">
        <f t="shared" si="6"/>
        <v>0</v>
      </c>
      <c r="G15" s="551">
        <f t="shared" si="6"/>
        <v>0</v>
      </c>
      <c r="H15" s="551">
        <f t="shared" si="6"/>
        <v>0</v>
      </c>
      <c r="I15" s="551">
        <f t="shared" si="6"/>
        <v>0</v>
      </c>
      <c r="J15" s="551">
        <f t="shared" si="6"/>
        <v>0</v>
      </c>
      <c r="K15" s="551">
        <f t="shared" si="6"/>
        <v>0</v>
      </c>
      <c r="L15" s="551">
        <f t="shared" si="6"/>
        <v>0</v>
      </c>
      <c r="M15" s="551">
        <f t="shared" si="6"/>
        <v>0</v>
      </c>
      <c r="N15" s="561">
        <f t="shared" si="6"/>
        <v>0</v>
      </c>
      <c r="O15" s="611">
        <f t="shared" si="5"/>
        <v>0</v>
      </c>
    </row>
    <row r="16" spans="1:15" x14ac:dyDescent="0.35">
      <c r="A16" s="612" t="s">
        <v>247</v>
      </c>
      <c r="B16" s="567"/>
      <c r="C16" s="562">
        <f t="shared" ref="C16:N16" si="7">C17+C23</f>
        <v>151660.25</v>
      </c>
      <c r="D16" s="552">
        <f t="shared" si="7"/>
        <v>155965.25</v>
      </c>
      <c r="E16" s="552">
        <f t="shared" si="7"/>
        <v>176545.85</v>
      </c>
      <c r="F16" s="552">
        <f t="shared" si="7"/>
        <v>185058.52900000001</v>
      </c>
      <c r="G16" s="552">
        <f t="shared" si="7"/>
        <v>198299.78</v>
      </c>
      <c r="H16" s="552">
        <f t="shared" si="7"/>
        <v>209836.12000000002</v>
      </c>
      <c r="I16" s="552">
        <f t="shared" si="7"/>
        <v>211908.52000000002</v>
      </c>
      <c r="J16" s="552">
        <f t="shared" si="7"/>
        <v>1585884.3330000001</v>
      </c>
      <c r="K16" s="552">
        <f t="shared" si="7"/>
        <v>234610.86199999999</v>
      </c>
      <c r="L16" s="552">
        <f t="shared" si="7"/>
        <v>211000</v>
      </c>
      <c r="M16" s="552">
        <f t="shared" si="7"/>
        <v>211000</v>
      </c>
      <c r="N16" s="563">
        <f t="shared" si="7"/>
        <v>286590.40000000002</v>
      </c>
      <c r="O16" s="597">
        <f t="shared" si="5"/>
        <v>3818359.8940000003</v>
      </c>
    </row>
    <row r="17" spans="1:15" x14ac:dyDescent="0.35">
      <c r="A17" s="615" t="s">
        <v>255</v>
      </c>
      <c r="B17" s="616"/>
      <c r="C17" s="617">
        <f t="shared" ref="C17:N17" si="8">SUM(C18:C22)</f>
        <v>151660.25</v>
      </c>
      <c r="D17" s="618">
        <f t="shared" si="8"/>
        <v>155965.25</v>
      </c>
      <c r="E17" s="618">
        <f t="shared" si="8"/>
        <v>161545.85</v>
      </c>
      <c r="F17" s="618">
        <f t="shared" si="8"/>
        <v>185058.52900000001</v>
      </c>
      <c r="G17" s="618">
        <f t="shared" si="8"/>
        <v>198299.78</v>
      </c>
      <c r="H17" s="618">
        <f t="shared" si="8"/>
        <v>209836.12000000002</v>
      </c>
      <c r="I17" s="618">
        <f t="shared" si="8"/>
        <v>211908.52000000002</v>
      </c>
      <c r="J17" s="618">
        <f t="shared" si="8"/>
        <v>246329.33300000001</v>
      </c>
      <c r="K17" s="618">
        <f t="shared" si="8"/>
        <v>234610.86199999999</v>
      </c>
      <c r="L17" s="618">
        <f t="shared" si="8"/>
        <v>211000</v>
      </c>
      <c r="M17" s="618">
        <f t="shared" si="8"/>
        <v>211000</v>
      </c>
      <c r="N17" s="619">
        <f t="shared" si="8"/>
        <v>211000</v>
      </c>
      <c r="O17" s="598">
        <f t="shared" si="5"/>
        <v>2388214.4939999999</v>
      </c>
    </row>
    <row r="18" spans="1:15" x14ac:dyDescent="0.35">
      <c r="A18" s="613" t="s">
        <v>256</v>
      </c>
      <c r="B18" s="568"/>
      <c r="C18" s="583">
        <f>9279+46000</f>
        <v>55279</v>
      </c>
      <c r="D18" s="584">
        <f>46000+9279</f>
        <v>55279</v>
      </c>
      <c r="E18" s="584">
        <f>46000+9279</f>
        <v>55279</v>
      </c>
      <c r="F18" s="584">
        <f>46000+15464</f>
        <v>61464</v>
      </c>
      <c r="G18" s="584">
        <f>46000+20472</f>
        <v>66472</v>
      </c>
      <c r="H18" s="584">
        <f>46000+25926</f>
        <v>71926</v>
      </c>
      <c r="I18" s="584">
        <f>46000+18168</f>
        <v>64168</v>
      </c>
      <c r="J18" s="584">
        <f>46000+21635</f>
        <v>67635</v>
      </c>
      <c r="K18" s="584">
        <f>46000+26615</f>
        <v>72615</v>
      </c>
      <c r="L18" s="584">
        <v>32000</v>
      </c>
      <c r="M18" s="584">
        <v>32000</v>
      </c>
      <c r="N18" s="585">
        <v>32000</v>
      </c>
      <c r="O18" s="599">
        <f t="shared" si="5"/>
        <v>666117</v>
      </c>
    </row>
    <row r="19" spans="1:15" x14ac:dyDescent="0.35">
      <c r="A19" s="613" t="s">
        <v>257</v>
      </c>
      <c r="B19" s="576"/>
      <c r="C19" s="583">
        <f>(3450+375+600)*12.3</f>
        <v>54427.5</v>
      </c>
      <c r="D19" s="584">
        <f>(3580+375+700)*12.3</f>
        <v>57256.5</v>
      </c>
      <c r="E19" s="584">
        <f>(3350+375+700)*12.3</f>
        <v>54427.5</v>
      </c>
      <c r="F19" s="584">
        <f>(4484+375+800)*12.3</f>
        <v>69605.7</v>
      </c>
      <c r="G19" s="584">
        <f>(4269+400+700)*12.3</f>
        <v>66038.7</v>
      </c>
      <c r="H19" s="584">
        <f>(4150+400+700)*12.3</f>
        <v>64575.000000000007</v>
      </c>
      <c r="I19" s="584">
        <f>(4350+400+700)*12.3</f>
        <v>67035</v>
      </c>
      <c r="J19" s="584">
        <f>(5649+400+700)*12.3</f>
        <v>83012.700000000012</v>
      </c>
      <c r="K19" s="584">
        <f>(5631+400+700)*12.3</f>
        <v>82791.3</v>
      </c>
      <c r="L19" s="584">
        <v>83000</v>
      </c>
      <c r="M19" s="584">
        <v>83000</v>
      </c>
      <c r="N19" s="585">
        <v>83000</v>
      </c>
      <c r="O19" s="599">
        <f t="shared" si="5"/>
        <v>848169.9</v>
      </c>
    </row>
    <row r="20" spans="1:15" x14ac:dyDescent="0.35">
      <c r="A20" s="613" t="s">
        <v>258</v>
      </c>
      <c r="B20" s="568"/>
      <c r="C20" s="583">
        <f>(450750*0.085)+3640</f>
        <v>41953.75</v>
      </c>
      <c r="D20" s="584">
        <f>(450750*0.085)+3640</f>
        <v>41953.75</v>
      </c>
      <c r="E20" s="584">
        <f>(474150*0.085)+3640</f>
        <v>43942.75</v>
      </c>
      <c r="F20" s="584">
        <f>(523763*0.083)</f>
        <v>43472.329000000005</v>
      </c>
      <c r="G20" s="584">
        <f>(565460*0.083)</f>
        <v>46933.18</v>
      </c>
      <c r="H20" s="584">
        <f>(605240*0.083)</f>
        <v>50234.920000000006</v>
      </c>
      <c r="I20" s="584">
        <f>((667040+27000)*0.083)</f>
        <v>57605.32</v>
      </c>
      <c r="J20" s="584">
        <f>((846651+27000)*0.083)</f>
        <v>72513.03300000001</v>
      </c>
      <c r="K20" s="584">
        <f>((778614+27000)*0.083)</f>
        <v>66865.962</v>
      </c>
      <c r="L20" s="584">
        <v>73000</v>
      </c>
      <c r="M20" s="584">
        <v>73000</v>
      </c>
      <c r="N20" s="585">
        <v>73000</v>
      </c>
      <c r="O20" s="599">
        <f t="shared" si="5"/>
        <v>684474.99399999995</v>
      </c>
    </row>
    <row r="21" spans="1:15" x14ac:dyDescent="0.35">
      <c r="A21" s="613" t="s">
        <v>259</v>
      </c>
      <c r="B21" s="568"/>
      <c r="C21" s="583">
        <v>0</v>
      </c>
      <c r="D21" s="584">
        <f>(120)*12.3</f>
        <v>1476</v>
      </c>
      <c r="E21" s="584">
        <f>(642)*12.3</f>
        <v>7896.6</v>
      </c>
      <c r="F21" s="584">
        <f>(855)*12.3</f>
        <v>10516.5</v>
      </c>
      <c r="G21" s="584">
        <f>(1533)*12.3</f>
        <v>18855.900000000001</v>
      </c>
      <c r="H21" s="584">
        <f>(6079)*3.8</f>
        <v>23100.2</v>
      </c>
      <c r="I21" s="584">
        <f>(6079)*3.8</f>
        <v>23100.2</v>
      </c>
      <c r="J21" s="584">
        <f>(6097)*3.8</f>
        <v>23168.6</v>
      </c>
      <c r="K21" s="584">
        <f>(6097-2850)*3.8</f>
        <v>12338.599999999999</v>
      </c>
      <c r="L21" s="584">
        <v>23000</v>
      </c>
      <c r="M21" s="584">
        <v>23000</v>
      </c>
      <c r="N21" s="585">
        <v>23000</v>
      </c>
      <c r="O21" s="599">
        <f t="shared" si="5"/>
        <v>189452.6</v>
      </c>
    </row>
    <row r="22" spans="1:15" hidden="1" x14ac:dyDescent="0.35">
      <c r="A22" s="613" t="s">
        <v>263</v>
      </c>
      <c r="B22" s="568"/>
      <c r="C22" s="583">
        <v>0</v>
      </c>
      <c r="D22" s="584">
        <v>0</v>
      </c>
      <c r="E22" s="584">
        <v>0</v>
      </c>
      <c r="F22" s="584">
        <v>0</v>
      </c>
      <c r="G22" s="584">
        <v>0</v>
      </c>
      <c r="H22" s="584">
        <v>0</v>
      </c>
      <c r="I22" s="584">
        <v>0</v>
      </c>
      <c r="J22" s="584">
        <v>0</v>
      </c>
      <c r="K22" s="584">
        <v>0</v>
      </c>
      <c r="L22" s="584">
        <v>0</v>
      </c>
      <c r="M22" s="584">
        <v>0</v>
      </c>
      <c r="N22" s="585">
        <v>0</v>
      </c>
      <c r="O22" s="599">
        <f t="shared" si="5"/>
        <v>0</v>
      </c>
    </row>
    <row r="23" spans="1:15" x14ac:dyDescent="0.35">
      <c r="A23" s="615" t="s">
        <v>260</v>
      </c>
      <c r="B23" s="616"/>
      <c r="C23" s="617">
        <f t="shared" ref="C23:N23" si="9">SUM(C24:C28)</f>
        <v>0</v>
      </c>
      <c r="D23" s="618">
        <f t="shared" si="9"/>
        <v>0</v>
      </c>
      <c r="E23" s="618">
        <f t="shared" si="9"/>
        <v>15000</v>
      </c>
      <c r="F23" s="618">
        <f t="shared" si="9"/>
        <v>0</v>
      </c>
      <c r="G23" s="618">
        <f t="shared" si="9"/>
        <v>0</v>
      </c>
      <c r="H23" s="618">
        <f t="shared" si="9"/>
        <v>0</v>
      </c>
      <c r="I23" s="618">
        <f t="shared" si="9"/>
        <v>0</v>
      </c>
      <c r="J23" s="618">
        <f t="shared" si="9"/>
        <v>1339555</v>
      </c>
      <c r="K23" s="618">
        <f t="shared" si="9"/>
        <v>0</v>
      </c>
      <c r="L23" s="618">
        <f t="shared" si="9"/>
        <v>0</v>
      </c>
      <c r="M23" s="618">
        <f t="shared" si="9"/>
        <v>0</v>
      </c>
      <c r="N23" s="619">
        <f t="shared" si="9"/>
        <v>75590.400000000009</v>
      </c>
      <c r="O23" s="598">
        <f t="shared" si="5"/>
        <v>1430145.4</v>
      </c>
    </row>
    <row r="24" spans="1:15" x14ac:dyDescent="0.35">
      <c r="A24" s="613" t="s">
        <v>256</v>
      </c>
      <c r="B24" s="568"/>
      <c r="C24" s="583">
        <v>0</v>
      </c>
      <c r="D24" s="584">
        <v>0</v>
      </c>
      <c r="E24" s="584">
        <v>15000</v>
      </c>
      <c r="F24" s="584">
        <v>0</v>
      </c>
      <c r="G24" s="584">
        <v>0</v>
      </c>
      <c r="H24" s="584">
        <v>0</v>
      </c>
      <c r="I24" s="584">
        <v>0</v>
      </c>
      <c r="J24" s="604">
        <v>1000000</v>
      </c>
      <c r="K24" s="584">
        <v>0</v>
      </c>
      <c r="L24" s="584">
        <v>0</v>
      </c>
      <c r="M24" s="584">
        <v>0</v>
      </c>
      <c r="N24" s="585">
        <v>0</v>
      </c>
      <c r="O24" s="599">
        <f t="shared" si="5"/>
        <v>1015000</v>
      </c>
    </row>
    <row r="25" spans="1:15" ht="16" thickBot="1" x14ac:dyDescent="0.4">
      <c r="A25" s="614" t="s">
        <v>257</v>
      </c>
      <c r="B25" s="569"/>
      <c r="C25" s="586">
        <v>0</v>
      </c>
      <c r="D25" s="587">
        <v>0</v>
      </c>
      <c r="E25" s="587">
        <v>0</v>
      </c>
      <c r="F25" s="587">
        <v>0</v>
      </c>
      <c r="G25" s="587">
        <v>0</v>
      </c>
      <c r="H25" s="587">
        <v>0</v>
      </c>
      <c r="I25" s="587">
        <v>0</v>
      </c>
      <c r="J25" s="587">
        <v>339555</v>
      </c>
      <c r="K25" s="587">
        <v>0</v>
      </c>
      <c r="L25" s="587">
        <v>0</v>
      </c>
      <c r="M25" s="587">
        <v>0</v>
      </c>
      <c r="N25" s="588">
        <f>6096*12.4</f>
        <v>75590.400000000009</v>
      </c>
      <c r="O25" s="600">
        <f t="shared" si="5"/>
        <v>415145.4</v>
      </c>
    </row>
    <row r="26" spans="1:15" hidden="1" x14ac:dyDescent="0.35">
      <c r="A26" s="547" t="s">
        <v>263</v>
      </c>
      <c r="B26" s="568"/>
      <c r="C26" s="583">
        <v>0</v>
      </c>
      <c r="D26" s="584">
        <v>0</v>
      </c>
      <c r="E26" s="584">
        <v>0</v>
      </c>
      <c r="F26" s="584">
        <v>0</v>
      </c>
      <c r="G26" s="584">
        <v>0</v>
      </c>
      <c r="H26" s="584">
        <v>0</v>
      </c>
      <c r="I26" s="584">
        <v>0</v>
      </c>
      <c r="J26" s="584">
        <v>0</v>
      </c>
      <c r="K26" s="584">
        <v>0</v>
      </c>
      <c r="L26" s="584">
        <v>0</v>
      </c>
      <c r="M26" s="584">
        <v>0</v>
      </c>
      <c r="N26" s="585">
        <v>0</v>
      </c>
      <c r="O26" s="599">
        <f t="shared" si="5"/>
        <v>0</v>
      </c>
    </row>
    <row r="27" spans="1:15" hidden="1" x14ac:dyDescent="0.35">
      <c r="A27" s="547" t="s">
        <v>263</v>
      </c>
      <c r="B27" s="568"/>
      <c r="C27" s="583">
        <v>0</v>
      </c>
      <c r="D27" s="584">
        <v>0</v>
      </c>
      <c r="E27" s="584">
        <v>0</v>
      </c>
      <c r="F27" s="584">
        <v>0</v>
      </c>
      <c r="G27" s="584">
        <v>0</v>
      </c>
      <c r="H27" s="584">
        <v>0</v>
      </c>
      <c r="I27" s="584">
        <v>0</v>
      </c>
      <c r="J27" s="584">
        <v>0</v>
      </c>
      <c r="K27" s="584">
        <v>0</v>
      </c>
      <c r="L27" s="584">
        <v>0</v>
      </c>
      <c r="M27" s="584">
        <v>0</v>
      </c>
      <c r="N27" s="585">
        <v>0</v>
      </c>
      <c r="O27" s="599">
        <f t="shared" si="5"/>
        <v>0</v>
      </c>
    </row>
    <row r="28" spans="1:15" ht="16" hidden="1" thickBot="1" x14ac:dyDescent="0.4">
      <c r="A28" s="553" t="s">
        <v>263</v>
      </c>
      <c r="B28" s="569"/>
      <c r="C28" s="586">
        <v>0</v>
      </c>
      <c r="D28" s="587">
        <v>0</v>
      </c>
      <c r="E28" s="587">
        <v>0</v>
      </c>
      <c r="F28" s="587">
        <v>0</v>
      </c>
      <c r="G28" s="587">
        <v>0</v>
      </c>
      <c r="H28" s="587">
        <v>0</v>
      </c>
      <c r="I28" s="587">
        <v>0</v>
      </c>
      <c r="J28" s="587">
        <v>0</v>
      </c>
      <c r="K28" s="587">
        <v>0</v>
      </c>
      <c r="L28" s="587">
        <v>0</v>
      </c>
      <c r="M28" s="587">
        <v>0</v>
      </c>
      <c r="N28" s="588">
        <v>0</v>
      </c>
      <c r="O28" s="600">
        <f t="shared" si="5"/>
        <v>0</v>
      </c>
    </row>
    <row r="29" spans="1:15" ht="9" customHeight="1" thickBot="1" x14ac:dyDescent="0.4">
      <c r="A29" s="547"/>
      <c r="B29" s="547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601"/>
    </row>
    <row r="30" spans="1:15" ht="16" thickBot="1" x14ac:dyDescent="0.4">
      <c r="A30" s="554" t="s">
        <v>169</v>
      </c>
      <c r="B30" s="577"/>
      <c r="C30" s="555">
        <f>C15-C16</f>
        <v>-151660.25</v>
      </c>
      <c r="D30" s="556">
        <f t="shared" ref="D30:N30" si="10">D15-D16</f>
        <v>-155965.25</v>
      </c>
      <c r="E30" s="556">
        <f t="shared" si="10"/>
        <v>-176545.85</v>
      </c>
      <c r="F30" s="556">
        <f t="shared" si="10"/>
        <v>-185058.52900000001</v>
      </c>
      <c r="G30" s="556">
        <f t="shared" si="10"/>
        <v>-198299.78</v>
      </c>
      <c r="H30" s="556">
        <f t="shared" si="10"/>
        <v>-209836.12000000002</v>
      </c>
      <c r="I30" s="556">
        <f t="shared" si="10"/>
        <v>-211908.52000000002</v>
      </c>
      <c r="J30" s="556">
        <f t="shared" si="10"/>
        <v>-1585884.3330000001</v>
      </c>
      <c r="K30" s="556">
        <f t="shared" si="10"/>
        <v>-234610.86199999999</v>
      </c>
      <c r="L30" s="556">
        <f t="shared" si="10"/>
        <v>-211000</v>
      </c>
      <c r="M30" s="556">
        <f t="shared" si="10"/>
        <v>-211000</v>
      </c>
      <c r="N30" s="556">
        <f t="shared" si="10"/>
        <v>-286590.40000000002</v>
      </c>
      <c r="O30" s="602">
        <f t="shared" ref="O30" si="11">O13+O14-O16</f>
        <v>-3818359.8940000003</v>
      </c>
    </row>
    <row r="31" spans="1:15" ht="9" hidden="1" customHeight="1" thickBot="1" x14ac:dyDescent="0.4">
      <c r="A31" s="547"/>
      <c r="B31" s="547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603"/>
    </row>
    <row r="32" spans="1:15" ht="16" hidden="1" thickBot="1" x14ac:dyDescent="0.4">
      <c r="A32" s="554" t="s">
        <v>248</v>
      </c>
      <c r="B32" s="577"/>
      <c r="C32" s="555">
        <f>C30</f>
        <v>-151660.25</v>
      </c>
      <c r="D32" s="556">
        <f>C32+D30</f>
        <v>-307625.5</v>
      </c>
      <c r="E32" s="556">
        <f>D32+E30</f>
        <v>-484171.35</v>
      </c>
      <c r="F32" s="556">
        <f t="shared" ref="F32:N32" si="12">E32+F30</f>
        <v>-669229.87899999996</v>
      </c>
      <c r="G32" s="556">
        <f t="shared" si="12"/>
        <v>-867529.65899999999</v>
      </c>
      <c r="H32" s="556">
        <f t="shared" si="12"/>
        <v>-1077365.7790000001</v>
      </c>
      <c r="I32" s="556">
        <f t="shared" si="12"/>
        <v>-1289274.2990000001</v>
      </c>
      <c r="J32" s="556">
        <f t="shared" si="12"/>
        <v>-2875158.6320000002</v>
      </c>
      <c r="K32" s="557">
        <f t="shared" si="12"/>
        <v>-3109769.4940000004</v>
      </c>
      <c r="L32" s="556">
        <f t="shared" si="12"/>
        <v>-3320769.4940000004</v>
      </c>
      <c r="M32" s="556">
        <f t="shared" si="12"/>
        <v>-3531769.4940000004</v>
      </c>
      <c r="N32" s="556">
        <f t="shared" si="12"/>
        <v>-3818359.8940000003</v>
      </c>
      <c r="O32" s="602">
        <f>O15-O16</f>
        <v>-3818359.8940000003</v>
      </c>
    </row>
    <row r="33" spans="1:15" ht="9" customHeight="1" thickBot="1" x14ac:dyDescent="0.4"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</row>
    <row r="34" spans="1:15" ht="16" thickBot="1" x14ac:dyDescent="0.4">
      <c r="A34" s="620" t="s">
        <v>251</v>
      </c>
      <c r="B34" s="621"/>
      <c r="C34" s="623">
        <f>B12+C12+C30</f>
        <v>44825.97</v>
      </c>
      <c r="D34" s="624">
        <f>C34+D12+D30</f>
        <v>157260.71999999997</v>
      </c>
      <c r="E34" s="624">
        <f t="shared" ref="E34:N34" si="13">D34+E12+E30</f>
        <v>-19285.130000000034</v>
      </c>
      <c r="F34" s="624">
        <f t="shared" si="13"/>
        <v>795656.34100000001</v>
      </c>
      <c r="G34" s="624">
        <f t="shared" si="13"/>
        <v>597356.56099999999</v>
      </c>
      <c r="H34" s="624">
        <f t="shared" si="13"/>
        <v>1387520.4409999999</v>
      </c>
      <c r="I34" s="624">
        <f t="shared" si="13"/>
        <v>2675611.9209999996</v>
      </c>
      <c r="J34" s="624">
        <f t="shared" si="13"/>
        <v>1089727.5879999995</v>
      </c>
      <c r="K34" s="624">
        <f t="shared" si="13"/>
        <v>855116.72599999956</v>
      </c>
      <c r="L34" s="624">
        <f t="shared" si="13"/>
        <v>644116.72599999956</v>
      </c>
      <c r="M34" s="624">
        <f t="shared" si="13"/>
        <v>433116.72599999956</v>
      </c>
      <c r="N34" s="624">
        <f t="shared" si="13"/>
        <v>146526.32599999954</v>
      </c>
      <c r="O34" s="622">
        <f>O12+O15-O16</f>
        <v>146526.32599999942</v>
      </c>
    </row>
  </sheetData>
  <pageMargins left="0.7" right="0.7" top="0.75" bottom="0.75" header="0.3" footer="0.3"/>
  <ignoredErrors>
    <ignoredError sqref="O12" formulaRange="1"/>
  </ignoredErrors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P53"/>
  <sheetViews>
    <sheetView topLeftCell="A4" workbookViewId="0">
      <pane xSplit="1" ySplit="1" topLeftCell="D5" activePane="bottomRight" state="frozen"/>
      <selection activeCell="A4" sqref="A4"/>
      <selection pane="topRight" activeCell="B4" sqref="B4"/>
      <selection pane="bottomLeft" activeCell="A5" sqref="A5"/>
      <selection pane="bottomRight" activeCell="O17" sqref="O17"/>
    </sheetView>
  </sheetViews>
  <sheetFormatPr defaultRowHeight="14.5" x14ac:dyDescent="0.35"/>
  <cols>
    <col min="1" max="1" width="52" customWidth="1"/>
    <col min="2" max="2" width="15.54296875" customWidth="1"/>
    <col min="3" max="3" width="14" customWidth="1"/>
    <col min="4" max="5" width="16.7265625" customWidth="1"/>
    <col min="6" max="6" width="17.1796875" customWidth="1"/>
    <col min="7" max="8" width="17.1796875" bestFit="1" customWidth="1"/>
    <col min="9" max="10" width="17.1796875" customWidth="1"/>
    <col min="11" max="11" width="20.54296875" customWidth="1"/>
    <col min="12" max="13" width="17.1796875" bestFit="1" customWidth="1"/>
    <col min="14" max="14" width="14.1796875" bestFit="1" customWidth="1"/>
    <col min="15" max="15" width="21" customWidth="1"/>
  </cols>
  <sheetData>
    <row r="3" spans="1:15" ht="15" thickBot="1" x14ac:dyDescent="0.4"/>
    <row r="4" spans="1:15" ht="21" x14ac:dyDescent="0.5">
      <c r="A4" s="12"/>
      <c r="B4" s="12"/>
      <c r="C4" s="77">
        <v>45505</v>
      </c>
      <c r="D4" s="77">
        <v>45536</v>
      </c>
      <c r="E4" s="77">
        <v>45566</v>
      </c>
      <c r="F4" s="77">
        <v>45597</v>
      </c>
      <c r="G4" s="77">
        <v>45627</v>
      </c>
      <c r="H4" s="77">
        <v>45658</v>
      </c>
      <c r="I4" s="77">
        <v>45689</v>
      </c>
      <c r="J4" s="77">
        <v>45717</v>
      </c>
      <c r="K4" s="77">
        <v>45748</v>
      </c>
      <c r="L4" s="77">
        <v>45778</v>
      </c>
      <c r="M4" s="77">
        <v>45809</v>
      </c>
      <c r="N4" s="77">
        <v>45839</v>
      </c>
      <c r="O4" s="387" t="s">
        <v>148</v>
      </c>
    </row>
    <row r="5" spans="1:15" ht="18" x14ac:dyDescent="0.3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88"/>
    </row>
    <row r="6" spans="1:15" ht="18" x14ac:dyDescent="0.4">
      <c r="A6" s="1" t="s">
        <v>1</v>
      </c>
      <c r="B6" s="2" t="s">
        <v>155</v>
      </c>
      <c r="C6" s="104"/>
      <c r="D6" s="405"/>
      <c r="E6" s="405"/>
      <c r="F6" s="405"/>
      <c r="G6" s="406"/>
      <c r="H6" s="406"/>
      <c r="I6" s="406"/>
      <c r="J6" s="407"/>
      <c r="K6" s="407"/>
      <c r="L6" s="407"/>
      <c r="M6" s="407"/>
      <c r="N6" s="104"/>
      <c r="O6" s="388"/>
    </row>
    <row r="7" spans="1:15" ht="18.5" x14ac:dyDescent="0.45">
      <c r="A7" s="105" t="s">
        <v>124</v>
      </c>
      <c r="B7" s="106">
        <v>50</v>
      </c>
      <c r="C7" s="104">
        <v>0</v>
      </c>
      <c r="D7" s="405">
        <f>$B$16*1.5%</f>
        <v>105000</v>
      </c>
      <c r="E7" s="405">
        <f t="shared" ref="E7:F9" si="0">$B$16*1.5%</f>
        <v>105000</v>
      </c>
      <c r="F7" s="405">
        <f t="shared" si="0"/>
        <v>105000</v>
      </c>
      <c r="G7" s="406">
        <f>$B$16*1.75%</f>
        <v>122500.00000000001</v>
      </c>
      <c r="H7" s="406">
        <f t="shared" ref="H7:I9" si="1">$B$16*1.75%</f>
        <v>122500.00000000001</v>
      </c>
      <c r="I7" s="406">
        <f t="shared" si="1"/>
        <v>122500.00000000001</v>
      </c>
      <c r="J7" s="407">
        <f>$B$16*1.75%</f>
        <v>122500.00000000001</v>
      </c>
      <c r="K7" s="407">
        <f t="shared" ref="K7:M9" si="2">$B$16*1.75%</f>
        <v>122500.00000000001</v>
      </c>
      <c r="L7" s="407">
        <f t="shared" si="2"/>
        <v>122500.00000000001</v>
      </c>
      <c r="M7" s="407">
        <f t="shared" si="2"/>
        <v>122500.00000000001</v>
      </c>
      <c r="N7" s="104"/>
      <c r="O7" s="402"/>
    </row>
    <row r="8" spans="1:15" ht="18.5" x14ac:dyDescent="0.45">
      <c r="A8" s="105" t="s">
        <v>125</v>
      </c>
      <c r="B8" s="106">
        <v>50</v>
      </c>
      <c r="C8" s="104">
        <v>0</v>
      </c>
      <c r="D8" s="405">
        <f>$B$16*1.5%</f>
        <v>105000</v>
      </c>
      <c r="E8" s="405">
        <f t="shared" si="0"/>
        <v>105000</v>
      </c>
      <c r="F8" s="405">
        <f t="shared" si="0"/>
        <v>105000</v>
      </c>
      <c r="G8" s="406">
        <f>$B$16*1.75%</f>
        <v>122500.00000000001</v>
      </c>
      <c r="H8" s="406">
        <f t="shared" si="1"/>
        <v>122500.00000000001</v>
      </c>
      <c r="I8" s="406">
        <f t="shared" si="1"/>
        <v>122500.00000000001</v>
      </c>
      <c r="J8" s="407">
        <f>$B$16*1.75%</f>
        <v>122500.00000000001</v>
      </c>
      <c r="K8" s="407">
        <f t="shared" si="2"/>
        <v>122500.00000000001</v>
      </c>
      <c r="L8" s="407">
        <f t="shared" si="2"/>
        <v>122500.00000000001</v>
      </c>
      <c r="M8" s="407">
        <f t="shared" si="2"/>
        <v>122500.00000000001</v>
      </c>
      <c r="N8" s="104">
        <v>0</v>
      </c>
      <c r="O8" s="402">
        <f>SUM(C8:N8)</f>
        <v>1172500</v>
      </c>
    </row>
    <row r="9" spans="1:15" ht="19" thickBot="1" x14ac:dyDescent="0.5">
      <c r="A9" s="105" t="s">
        <v>126</v>
      </c>
      <c r="B9" s="106">
        <v>50</v>
      </c>
      <c r="C9" s="104">
        <v>0</v>
      </c>
      <c r="D9" s="405">
        <f>$B$16*1.5%</f>
        <v>105000</v>
      </c>
      <c r="E9" s="405">
        <f t="shared" si="0"/>
        <v>105000</v>
      </c>
      <c r="F9" s="405">
        <f t="shared" si="0"/>
        <v>105000</v>
      </c>
      <c r="G9" s="406">
        <f>$B$16*1.75%</f>
        <v>122500.00000000001</v>
      </c>
      <c r="H9" s="406">
        <f t="shared" si="1"/>
        <v>122500.00000000001</v>
      </c>
      <c r="I9" s="406">
        <f t="shared" si="1"/>
        <v>122500.00000000001</v>
      </c>
      <c r="J9" s="407">
        <f>$B$16*1.75%</f>
        <v>122500.00000000001</v>
      </c>
      <c r="K9" s="407">
        <f t="shared" si="2"/>
        <v>122500.00000000001</v>
      </c>
      <c r="L9" s="407">
        <f t="shared" si="2"/>
        <v>122500.00000000001</v>
      </c>
      <c r="M9" s="407">
        <f t="shared" si="2"/>
        <v>122500.00000000001</v>
      </c>
      <c r="N9" s="104">
        <v>0</v>
      </c>
      <c r="O9" s="402"/>
    </row>
    <row r="10" spans="1:15" ht="24" thickBot="1" x14ac:dyDescent="0.6">
      <c r="A10" s="4" t="s">
        <v>160</v>
      </c>
      <c r="B10" s="5"/>
      <c r="C10" s="108">
        <f>SUM(C7:C9)</f>
        <v>0</v>
      </c>
      <c r="D10" s="405">
        <f t="shared" ref="D10:N10" si="3">SUM(D7:D9)</f>
        <v>315000</v>
      </c>
      <c r="E10" s="405">
        <f t="shared" si="3"/>
        <v>315000</v>
      </c>
      <c r="F10" s="405">
        <f t="shared" si="3"/>
        <v>315000</v>
      </c>
      <c r="G10" s="406">
        <f t="shared" si="3"/>
        <v>367500.00000000006</v>
      </c>
      <c r="H10" s="406">
        <f t="shared" si="3"/>
        <v>367500.00000000006</v>
      </c>
      <c r="I10" s="406">
        <f>SUM(I7:I9)</f>
        <v>367500.00000000006</v>
      </c>
      <c r="J10" s="407">
        <f t="shared" si="3"/>
        <v>367500.00000000006</v>
      </c>
      <c r="K10" s="407">
        <f t="shared" si="3"/>
        <v>367500.00000000006</v>
      </c>
      <c r="L10" s="407">
        <f t="shared" si="3"/>
        <v>367500.00000000006</v>
      </c>
      <c r="M10" s="407">
        <f t="shared" si="3"/>
        <v>367500.00000000006</v>
      </c>
      <c r="N10" s="108">
        <f t="shared" si="3"/>
        <v>0</v>
      </c>
      <c r="O10" s="386">
        <f>SUM(C10:N10)</f>
        <v>3517500</v>
      </c>
    </row>
    <row r="11" spans="1:15" ht="18" x14ac:dyDescent="0.4">
      <c r="A11" s="1" t="s">
        <v>4</v>
      </c>
      <c r="B11" s="5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378"/>
      <c r="O11" s="388"/>
    </row>
    <row r="12" spans="1:15" ht="18" x14ac:dyDescent="0.4">
      <c r="A12" s="15" t="s">
        <v>8</v>
      </c>
      <c r="B12" s="15"/>
      <c r="C12" s="113">
        <f t="shared" ref="C12:N14" si="4">C7*5</f>
        <v>0</v>
      </c>
      <c r="D12" s="113">
        <f>D7*$B$7</f>
        <v>5250000</v>
      </c>
      <c r="E12" s="113">
        <f t="shared" ref="E12:M14" si="5">E7*$B$7</f>
        <v>5250000</v>
      </c>
      <c r="F12" s="113">
        <f t="shared" si="5"/>
        <v>5250000</v>
      </c>
      <c r="G12" s="113">
        <f t="shared" si="5"/>
        <v>6125000.0000000009</v>
      </c>
      <c r="H12" s="113">
        <f t="shared" si="5"/>
        <v>6125000.0000000009</v>
      </c>
      <c r="I12" s="113">
        <f t="shared" si="5"/>
        <v>6125000.0000000009</v>
      </c>
      <c r="J12" s="113">
        <f t="shared" si="5"/>
        <v>6125000.0000000009</v>
      </c>
      <c r="K12" s="113">
        <f t="shared" si="5"/>
        <v>6125000.0000000009</v>
      </c>
      <c r="L12" s="113">
        <f t="shared" si="5"/>
        <v>6125000.0000000009</v>
      </c>
      <c r="M12" s="113">
        <f t="shared" si="5"/>
        <v>6125000.0000000009</v>
      </c>
      <c r="N12" s="113">
        <f t="shared" si="4"/>
        <v>0</v>
      </c>
      <c r="O12" s="388"/>
    </row>
    <row r="13" spans="1:15" ht="18" x14ac:dyDescent="0.4">
      <c r="A13" s="15" t="s">
        <v>9</v>
      </c>
      <c r="B13" s="15"/>
      <c r="C13" s="113">
        <f t="shared" si="4"/>
        <v>0</v>
      </c>
      <c r="D13" s="113">
        <f>D8*$B$7</f>
        <v>5250000</v>
      </c>
      <c r="E13" s="113">
        <f t="shared" si="5"/>
        <v>5250000</v>
      </c>
      <c r="F13" s="113">
        <f t="shared" si="5"/>
        <v>5250000</v>
      </c>
      <c r="G13" s="113">
        <f t="shared" si="5"/>
        <v>6125000.0000000009</v>
      </c>
      <c r="H13" s="113">
        <f t="shared" si="5"/>
        <v>6125000.0000000009</v>
      </c>
      <c r="I13" s="113">
        <f t="shared" si="5"/>
        <v>6125000.0000000009</v>
      </c>
      <c r="J13" s="113">
        <f t="shared" si="5"/>
        <v>6125000.0000000009</v>
      </c>
      <c r="K13" s="113">
        <f t="shared" si="5"/>
        <v>6125000.0000000009</v>
      </c>
      <c r="L13" s="113">
        <f t="shared" si="5"/>
        <v>6125000.0000000009</v>
      </c>
      <c r="M13" s="113">
        <f t="shared" si="5"/>
        <v>6125000.0000000009</v>
      </c>
      <c r="N13" s="113">
        <f t="shared" si="4"/>
        <v>0</v>
      </c>
      <c r="O13" s="388"/>
    </row>
    <row r="14" spans="1:15" ht="23" thickBot="1" x14ac:dyDescent="0.9">
      <c r="A14" s="15" t="s">
        <v>10</v>
      </c>
      <c r="B14" s="15"/>
      <c r="C14" s="390">
        <f t="shared" si="4"/>
        <v>0</v>
      </c>
      <c r="D14" s="113">
        <f>D9*$B$7</f>
        <v>5250000</v>
      </c>
      <c r="E14" s="113">
        <f t="shared" si="5"/>
        <v>5250000</v>
      </c>
      <c r="F14" s="113">
        <f t="shared" si="5"/>
        <v>5250000</v>
      </c>
      <c r="G14" s="113">
        <f t="shared" si="5"/>
        <v>6125000.0000000009</v>
      </c>
      <c r="H14" s="113">
        <f t="shared" si="5"/>
        <v>6125000.0000000009</v>
      </c>
      <c r="I14" s="113">
        <f t="shared" si="5"/>
        <v>6125000.0000000009</v>
      </c>
      <c r="J14" s="113">
        <f t="shared" si="5"/>
        <v>6125000.0000000009</v>
      </c>
      <c r="K14" s="113">
        <f t="shared" si="5"/>
        <v>6125000.0000000009</v>
      </c>
      <c r="L14" s="113">
        <f t="shared" si="5"/>
        <v>6125000.0000000009</v>
      </c>
      <c r="M14" s="113">
        <f t="shared" si="5"/>
        <v>6125000.0000000009</v>
      </c>
      <c r="N14" s="390">
        <f t="shared" si="4"/>
        <v>0</v>
      </c>
      <c r="O14" s="388"/>
    </row>
    <row r="15" spans="1:15" ht="24" thickBot="1" x14ac:dyDescent="0.6">
      <c r="A15" s="117" t="s">
        <v>149</v>
      </c>
      <c r="B15" s="117"/>
      <c r="C15" s="389">
        <f>SUM(C12:C14)</f>
        <v>0</v>
      </c>
      <c r="D15" s="389">
        <f>SUM(D12:D14)</f>
        <v>15750000</v>
      </c>
      <c r="E15" s="389">
        <f t="shared" ref="E15:N15" si="6">SUM(E12:E14)</f>
        <v>15750000</v>
      </c>
      <c r="F15" s="389">
        <f t="shared" si="6"/>
        <v>15750000</v>
      </c>
      <c r="G15" s="389">
        <f t="shared" si="6"/>
        <v>18375000.000000004</v>
      </c>
      <c r="H15" s="389">
        <f>SUM(H12:H14)</f>
        <v>18375000.000000004</v>
      </c>
      <c r="I15" s="389">
        <f t="shared" si="6"/>
        <v>18375000.000000004</v>
      </c>
      <c r="J15" s="389">
        <f t="shared" si="6"/>
        <v>18375000.000000004</v>
      </c>
      <c r="K15" s="389">
        <f t="shared" si="6"/>
        <v>18375000.000000004</v>
      </c>
      <c r="L15" s="389">
        <f t="shared" si="6"/>
        <v>18375000.000000004</v>
      </c>
      <c r="M15" s="389">
        <f t="shared" si="6"/>
        <v>18375000.000000004</v>
      </c>
      <c r="N15" s="389">
        <f t="shared" si="6"/>
        <v>0</v>
      </c>
      <c r="O15" s="386">
        <f>SUM(C15:N15)</f>
        <v>175875000</v>
      </c>
    </row>
    <row r="16" spans="1:15" ht="18.5" thickBot="1" x14ac:dyDescent="0.45">
      <c r="A16" s="16" t="s">
        <v>156</v>
      </c>
      <c r="B16" s="408">
        <v>7000000</v>
      </c>
      <c r="C16" s="104"/>
      <c r="D16" s="409">
        <f>(D10/2)/$B$16</f>
        <v>2.2499999999999999E-2</v>
      </c>
      <c r="E16" s="409">
        <f>(E10/2)/$B$16</f>
        <v>2.2499999999999999E-2</v>
      </c>
      <c r="F16" s="409">
        <f>(F10/2)/$B$16</f>
        <v>2.2499999999999999E-2</v>
      </c>
      <c r="G16" s="409">
        <f>(G10/2)/$B$16</f>
        <v>2.6250000000000002E-2</v>
      </c>
      <c r="H16" s="409">
        <f t="shared" ref="H16:M16" si="7">(H10/2)/$B$16</f>
        <v>2.6250000000000002E-2</v>
      </c>
      <c r="I16" s="409">
        <f t="shared" si="7"/>
        <v>2.6250000000000002E-2</v>
      </c>
      <c r="J16" s="409">
        <f t="shared" si="7"/>
        <v>2.6250000000000002E-2</v>
      </c>
      <c r="K16" s="409">
        <f t="shared" si="7"/>
        <v>2.6250000000000002E-2</v>
      </c>
      <c r="L16" s="409">
        <f t="shared" si="7"/>
        <v>2.6250000000000002E-2</v>
      </c>
      <c r="M16" s="409">
        <f t="shared" si="7"/>
        <v>2.6250000000000002E-2</v>
      </c>
      <c r="N16" s="104"/>
      <c r="O16" s="409">
        <f>(O10/2)/$B$16</f>
        <v>0.25124999999999997</v>
      </c>
    </row>
    <row r="17" spans="1:16" ht="24" thickBot="1" x14ac:dyDescent="0.6">
      <c r="A17" s="122" t="s">
        <v>159</v>
      </c>
      <c r="B17" s="122"/>
      <c r="C17" s="123"/>
      <c r="D17" s="123">
        <f>$B$16*D16</f>
        <v>157500</v>
      </c>
      <c r="E17" s="123">
        <f>$B$16*E16</f>
        <v>157500</v>
      </c>
      <c r="F17" s="123">
        <f>$B$16*F16</f>
        <v>157500</v>
      </c>
      <c r="G17" s="123">
        <f t="shared" ref="G17:M17" si="8">$B$16*G16</f>
        <v>183750.00000000003</v>
      </c>
      <c r="H17" s="123">
        <f t="shared" si="8"/>
        <v>183750.00000000003</v>
      </c>
      <c r="I17" s="123">
        <f t="shared" si="8"/>
        <v>183750.00000000003</v>
      </c>
      <c r="J17" s="123">
        <f t="shared" si="8"/>
        <v>183750.00000000003</v>
      </c>
      <c r="K17" s="123">
        <f t="shared" si="8"/>
        <v>183750.00000000003</v>
      </c>
      <c r="L17" s="123">
        <f t="shared" si="8"/>
        <v>183750.00000000003</v>
      </c>
      <c r="M17" s="123">
        <f t="shared" si="8"/>
        <v>183750.00000000003</v>
      </c>
      <c r="N17" s="123">
        <v>0</v>
      </c>
      <c r="O17" s="386">
        <f t="shared" ref="O17:O18" si="9">SUM(C17:N17)</f>
        <v>1758750</v>
      </c>
      <c r="P17" s="409">
        <f>O17/B16</f>
        <v>0.25124999999999997</v>
      </c>
    </row>
    <row r="18" spans="1:16" ht="24" thickBot="1" x14ac:dyDescent="0.6">
      <c r="A18" s="16" t="s">
        <v>161</v>
      </c>
      <c r="B18" s="16"/>
      <c r="C18" s="104">
        <v>0</v>
      </c>
      <c r="D18" s="104">
        <f t="shared" ref="D18:E18" si="10">D17-0</f>
        <v>157500</v>
      </c>
      <c r="E18" s="104">
        <f t="shared" si="10"/>
        <v>157500</v>
      </c>
      <c r="F18" s="104">
        <f>F17-0</f>
        <v>157500</v>
      </c>
      <c r="G18" s="104">
        <f>G17-F17</f>
        <v>26250.000000000029</v>
      </c>
      <c r="H18" s="104">
        <f>H17-E17</f>
        <v>26250.000000000029</v>
      </c>
      <c r="I18" s="104">
        <f>I17-F17</f>
        <v>26250.000000000029</v>
      </c>
      <c r="J18" s="104">
        <f>J17-G17</f>
        <v>0</v>
      </c>
      <c r="K18" s="104">
        <f t="shared" ref="K18:L18" si="11">K17-H17</f>
        <v>0</v>
      </c>
      <c r="L18" s="104">
        <f t="shared" si="11"/>
        <v>0</v>
      </c>
      <c r="M18" s="104">
        <f>M17-I17</f>
        <v>0</v>
      </c>
      <c r="N18" s="104">
        <v>0</v>
      </c>
      <c r="O18" s="386">
        <f t="shared" si="9"/>
        <v>551250</v>
      </c>
      <c r="P18" s="409">
        <f>O18/B16</f>
        <v>7.8750000000000001E-2</v>
      </c>
    </row>
    <row r="19" spans="1:16" ht="24" thickBot="1" x14ac:dyDescent="0.6">
      <c r="A19" s="45" t="s">
        <v>13</v>
      </c>
      <c r="B19" s="45"/>
      <c r="C19" s="126">
        <f>SUM(C15:C18)</f>
        <v>0</v>
      </c>
      <c r="D19" s="126">
        <f>D15</f>
        <v>15750000</v>
      </c>
      <c r="E19" s="126">
        <f>E15</f>
        <v>15750000</v>
      </c>
      <c r="F19" s="126">
        <f t="shared" ref="F19:M19" si="12">F15</f>
        <v>15750000</v>
      </c>
      <c r="G19" s="126">
        <f t="shared" si="12"/>
        <v>18375000.000000004</v>
      </c>
      <c r="H19" s="126">
        <f t="shared" si="12"/>
        <v>18375000.000000004</v>
      </c>
      <c r="I19" s="126">
        <f t="shared" si="12"/>
        <v>18375000.000000004</v>
      </c>
      <c r="J19" s="126">
        <f t="shared" si="12"/>
        <v>18375000.000000004</v>
      </c>
      <c r="K19" s="126">
        <f t="shared" si="12"/>
        <v>18375000.000000004</v>
      </c>
      <c r="L19" s="126">
        <f t="shared" si="12"/>
        <v>18375000.000000004</v>
      </c>
      <c r="M19" s="126">
        <f t="shared" si="12"/>
        <v>18375000.000000004</v>
      </c>
      <c r="N19" s="126">
        <f t="shared" ref="N19" si="13">SUM(N15:N18)</f>
        <v>0</v>
      </c>
      <c r="O19" s="386">
        <f>SUM(C19:N19)</f>
        <v>175875000</v>
      </c>
    </row>
    <row r="20" spans="1:16" x14ac:dyDescent="0.35"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88"/>
    </row>
    <row r="21" spans="1:16" ht="16" thickBot="1" x14ac:dyDescent="0.4">
      <c r="A21" s="379" t="s">
        <v>21</v>
      </c>
      <c r="B21" s="379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88"/>
    </row>
    <row r="22" spans="1:16" ht="24" thickBot="1" x14ac:dyDescent="0.6">
      <c r="A22" s="377" t="s">
        <v>152</v>
      </c>
      <c r="B22" s="377"/>
      <c r="C22" s="104">
        <v>320000</v>
      </c>
      <c r="D22" s="104">
        <v>320000</v>
      </c>
      <c r="E22" s="104">
        <f t="shared" ref="E22:N22" si="14">D22</f>
        <v>320000</v>
      </c>
      <c r="F22" s="104">
        <f t="shared" si="14"/>
        <v>320000</v>
      </c>
      <c r="G22" s="104">
        <f t="shared" si="14"/>
        <v>320000</v>
      </c>
      <c r="H22" s="104">
        <f t="shared" si="14"/>
        <v>320000</v>
      </c>
      <c r="I22" s="104">
        <f t="shared" si="14"/>
        <v>320000</v>
      </c>
      <c r="J22" s="104">
        <f t="shared" si="14"/>
        <v>320000</v>
      </c>
      <c r="K22" s="104">
        <f t="shared" si="14"/>
        <v>320000</v>
      </c>
      <c r="L22" s="104">
        <f t="shared" si="14"/>
        <v>320000</v>
      </c>
      <c r="M22" s="104">
        <f t="shared" si="14"/>
        <v>320000</v>
      </c>
      <c r="N22" s="104">
        <f t="shared" si="14"/>
        <v>320000</v>
      </c>
      <c r="O22" s="386">
        <f t="shared" ref="O22:O47" si="15">SUM(C22:N22)</f>
        <v>3840000</v>
      </c>
    </row>
    <row r="23" spans="1:16" ht="24" thickBot="1" x14ac:dyDescent="0.6">
      <c r="A23" s="377" t="s">
        <v>23</v>
      </c>
      <c r="B23" s="377"/>
      <c r="C23" s="104">
        <v>50000</v>
      </c>
      <c r="D23" s="104">
        <v>50000</v>
      </c>
      <c r="E23" s="104">
        <v>50000</v>
      </c>
      <c r="F23" s="104">
        <v>50000</v>
      </c>
      <c r="G23" s="104">
        <v>50000</v>
      </c>
      <c r="H23" s="104">
        <v>50000</v>
      </c>
      <c r="I23" s="104">
        <v>50000</v>
      </c>
      <c r="J23" s="104">
        <v>50000</v>
      </c>
      <c r="K23" s="104">
        <v>50000</v>
      </c>
      <c r="L23" s="104">
        <v>50000</v>
      </c>
      <c r="M23" s="104">
        <v>50000</v>
      </c>
      <c r="N23" s="104">
        <v>50000</v>
      </c>
      <c r="O23" s="386">
        <f t="shared" si="15"/>
        <v>600000</v>
      </c>
    </row>
    <row r="24" spans="1:16" ht="24" thickBot="1" x14ac:dyDescent="0.6">
      <c r="A24" s="377" t="s">
        <v>24</v>
      </c>
      <c r="B24" s="377"/>
      <c r="C24" s="104">
        <v>0</v>
      </c>
      <c r="D24" s="104">
        <v>1000000</v>
      </c>
      <c r="E24" s="104">
        <v>1000000</v>
      </c>
      <c r="F24" s="104">
        <v>1000000</v>
      </c>
      <c r="G24" s="104">
        <v>1000000</v>
      </c>
      <c r="H24" s="104">
        <v>1000000</v>
      </c>
      <c r="I24" s="104">
        <v>1000000</v>
      </c>
      <c r="J24" s="104">
        <v>1000000</v>
      </c>
      <c r="K24" s="104">
        <v>1000000</v>
      </c>
      <c r="L24" s="104">
        <v>1000000</v>
      </c>
      <c r="M24" s="104">
        <v>1000000</v>
      </c>
      <c r="N24" s="104">
        <v>0</v>
      </c>
      <c r="O24" s="386">
        <f t="shared" si="15"/>
        <v>10000000</v>
      </c>
    </row>
    <row r="25" spans="1:16" ht="24" thickBot="1" x14ac:dyDescent="0.6">
      <c r="A25" s="380" t="s">
        <v>25</v>
      </c>
      <c r="B25" s="380"/>
      <c r="C25" s="384"/>
      <c r="D25" s="384"/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6">
        <f t="shared" si="15"/>
        <v>0</v>
      </c>
    </row>
    <row r="26" spans="1:16" ht="24" thickBot="1" x14ac:dyDescent="0.6">
      <c r="A26" s="377" t="s">
        <v>26</v>
      </c>
      <c r="B26" s="377"/>
      <c r="C26" s="104">
        <v>0</v>
      </c>
      <c r="D26" s="104" t="s">
        <v>154</v>
      </c>
      <c r="E26" s="104"/>
      <c r="F26" s="104" t="s">
        <v>154</v>
      </c>
      <c r="G26" s="104" t="s">
        <v>154</v>
      </c>
      <c r="H26" s="104">
        <v>0</v>
      </c>
      <c r="I26" s="104" t="s">
        <v>154</v>
      </c>
      <c r="J26" s="104" t="s">
        <v>154</v>
      </c>
      <c r="K26" s="104">
        <v>0</v>
      </c>
      <c r="L26" s="104">
        <v>0</v>
      </c>
      <c r="M26" s="104">
        <v>0</v>
      </c>
      <c r="N26" s="104">
        <v>0</v>
      </c>
      <c r="O26" s="386">
        <f t="shared" si="15"/>
        <v>0</v>
      </c>
    </row>
    <row r="27" spans="1:16" ht="24" thickBot="1" x14ac:dyDescent="0.6">
      <c r="A27" s="377" t="s">
        <v>27</v>
      </c>
      <c r="B27" s="377"/>
      <c r="C27" s="104">
        <v>5000</v>
      </c>
      <c r="D27" s="104">
        <f t="shared" ref="D27:N27" si="16">C27</f>
        <v>5000</v>
      </c>
      <c r="E27" s="104">
        <f t="shared" si="16"/>
        <v>5000</v>
      </c>
      <c r="F27" s="104">
        <f t="shared" si="16"/>
        <v>5000</v>
      </c>
      <c r="G27" s="104">
        <f t="shared" si="16"/>
        <v>5000</v>
      </c>
      <c r="H27" s="104">
        <f t="shared" si="16"/>
        <v>5000</v>
      </c>
      <c r="I27" s="104">
        <f t="shared" si="16"/>
        <v>5000</v>
      </c>
      <c r="J27" s="104">
        <f t="shared" si="16"/>
        <v>5000</v>
      </c>
      <c r="K27" s="104">
        <f t="shared" si="16"/>
        <v>5000</v>
      </c>
      <c r="L27" s="104">
        <f t="shared" si="16"/>
        <v>5000</v>
      </c>
      <c r="M27" s="104">
        <f t="shared" si="16"/>
        <v>5000</v>
      </c>
      <c r="N27" s="104">
        <f t="shared" si="16"/>
        <v>5000</v>
      </c>
      <c r="O27" s="386">
        <f t="shared" si="15"/>
        <v>60000</v>
      </c>
    </row>
    <row r="28" spans="1:16" ht="24" thickBot="1" x14ac:dyDescent="0.6">
      <c r="A28" s="377" t="s">
        <v>28</v>
      </c>
      <c r="B28" s="377"/>
      <c r="C28" s="104">
        <v>1800</v>
      </c>
      <c r="D28" s="104">
        <v>1800</v>
      </c>
      <c r="E28" s="104">
        <v>1800</v>
      </c>
      <c r="F28" s="104">
        <v>1800</v>
      </c>
      <c r="G28" s="104">
        <v>1800</v>
      </c>
      <c r="H28" s="104">
        <v>1800</v>
      </c>
      <c r="I28" s="104">
        <v>1800</v>
      </c>
      <c r="J28" s="104">
        <v>1800</v>
      </c>
      <c r="K28" s="104">
        <v>1800</v>
      </c>
      <c r="L28" s="104">
        <v>1800</v>
      </c>
      <c r="M28" s="104">
        <v>1800</v>
      </c>
      <c r="N28" s="104">
        <v>1800</v>
      </c>
      <c r="O28" s="386">
        <f t="shared" si="15"/>
        <v>21600</v>
      </c>
    </row>
    <row r="29" spans="1:16" ht="24" thickBot="1" x14ac:dyDescent="0.6">
      <c r="A29" s="377" t="s">
        <v>29</v>
      </c>
      <c r="B29" s="377"/>
      <c r="C29" s="104">
        <v>500</v>
      </c>
      <c r="D29" s="104">
        <f t="shared" ref="D29:N29" si="17">C29</f>
        <v>500</v>
      </c>
      <c r="E29" s="104">
        <f t="shared" si="17"/>
        <v>500</v>
      </c>
      <c r="F29" s="104">
        <f t="shared" si="17"/>
        <v>500</v>
      </c>
      <c r="G29" s="104">
        <f t="shared" si="17"/>
        <v>500</v>
      </c>
      <c r="H29" s="104">
        <f t="shared" si="17"/>
        <v>500</v>
      </c>
      <c r="I29" s="104">
        <f t="shared" si="17"/>
        <v>500</v>
      </c>
      <c r="J29" s="104">
        <f t="shared" si="17"/>
        <v>500</v>
      </c>
      <c r="K29" s="104">
        <f t="shared" si="17"/>
        <v>500</v>
      </c>
      <c r="L29" s="104">
        <f t="shared" si="17"/>
        <v>500</v>
      </c>
      <c r="M29" s="104">
        <f t="shared" si="17"/>
        <v>500</v>
      </c>
      <c r="N29" s="104">
        <f t="shared" si="17"/>
        <v>500</v>
      </c>
      <c r="O29" s="386">
        <f t="shared" si="15"/>
        <v>6000</v>
      </c>
    </row>
    <row r="30" spans="1:16" ht="24" thickBot="1" x14ac:dyDescent="0.6">
      <c r="A30" s="377" t="s">
        <v>30</v>
      </c>
      <c r="B30" s="377"/>
      <c r="C30" s="104">
        <v>1000</v>
      </c>
      <c r="D30" s="104">
        <v>1000</v>
      </c>
      <c r="E30" s="104">
        <v>1000</v>
      </c>
      <c r="F30" s="104">
        <v>1000</v>
      </c>
      <c r="G30" s="104">
        <v>1000</v>
      </c>
      <c r="H30" s="104">
        <v>1000</v>
      </c>
      <c r="I30" s="104">
        <v>1000</v>
      </c>
      <c r="J30" s="104">
        <v>1000</v>
      </c>
      <c r="K30" s="104">
        <v>1000</v>
      </c>
      <c r="L30" s="104">
        <v>1000</v>
      </c>
      <c r="M30" s="104">
        <v>1000</v>
      </c>
      <c r="N30" s="104">
        <v>1000</v>
      </c>
      <c r="O30" s="386">
        <f t="shared" si="15"/>
        <v>12000</v>
      </c>
    </row>
    <row r="31" spans="1:16" ht="24" thickBot="1" x14ac:dyDescent="0.6">
      <c r="A31" s="377" t="s">
        <v>31</v>
      </c>
      <c r="B31" s="377"/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  <c r="L31" s="104">
        <v>0</v>
      </c>
      <c r="M31" s="104">
        <v>0</v>
      </c>
      <c r="N31" s="104">
        <v>0</v>
      </c>
      <c r="O31" s="386">
        <f t="shared" si="15"/>
        <v>0</v>
      </c>
    </row>
    <row r="32" spans="1:16" ht="24" thickBot="1" x14ac:dyDescent="0.6">
      <c r="A32" s="377" t="s">
        <v>32</v>
      </c>
      <c r="B32" s="377"/>
      <c r="C32" s="104">
        <v>450</v>
      </c>
      <c r="D32" s="104">
        <v>450</v>
      </c>
      <c r="E32" s="104">
        <v>450</v>
      </c>
      <c r="F32" s="104">
        <v>450</v>
      </c>
      <c r="G32" s="104">
        <v>450</v>
      </c>
      <c r="H32" s="104">
        <v>450</v>
      </c>
      <c r="I32" s="104">
        <v>450</v>
      </c>
      <c r="J32" s="104">
        <v>450</v>
      </c>
      <c r="K32" s="104">
        <v>450</v>
      </c>
      <c r="L32" s="104">
        <v>450</v>
      </c>
      <c r="M32" s="104">
        <v>450</v>
      </c>
      <c r="N32" s="104">
        <v>450</v>
      </c>
      <c r="O32" s="386">
        <f t="shared" si="15"/>
        <v>5400</v>
      </c>
    </row>
    <row r="33" spans="1:15" ht="24" thickBot="1" x14ac:dyDescent="0.6">
      <c r="A33" s="377" t="s">
        <v>33</v>
      </c>
      <c r="B33" s="377"/>
      <c r="C33" s="104">
        <v>3000</v>
      </c>
      <c r="D33" s="104">
        <f t="shared" ref="D33:N33" si="18">C33</f>
        <v>3000</v>
      </c>
      <c r="E33" s="104">
        <f t="shared" si="18"/>
        <v>3000</v>
      </c>
      <c r="F33" s="104">
        <f t="shared" si="18"/>
        <v>3000</v>
      </c>
      <c r="G33" s="104">
        <v>3000</v>
      </c>
      <c r="H33" s="104">
        <f t="shared" si="18"/>
        <v>3000</v>
      </c>
      <c r="I33" s="104">
        <f t="shared" si="18"/>
        <v>3000</v>
      </c>
      <c r="J33" s="104">
        <f t="shared" si="18"/>
        <v>3000</v>
      </c>
      <c r="K33" s="104">
        <f t="shared" si="18"/>
        <v>3000</v>
      </c>
      <c r="L33" s="104">
        <f t="shared" si="18"/>
        <v>3000</v>
      </c>
      <c r="M33" s="104">
        <f t="shared" si="18"/>
        <v>3000</v>
      </c>
      <c r="N33" s="104">
        <f t="shared" si="18"/>
        <v>3000</v>
      </c>
      <c r="O33" s="386">
        <f t="shared" si="15"/>
        <v>36000</v>
      </c>
    </row>
    <row r="34" spans="1:15" ht="24" thickBot="1" x14ac:dyDescent="0.6">
      <c r="A34" s="377" t="s">
        <v>34</v>
      </c>
      <c r="B34" s="377"/>
      <c r="C34" s="104">
        <v>9000</v>
      </c>
      <c r="D34" s="104">
        <v>9000</v>
      </c>
      <c r="E34" s="104">
        <v>9000</v>
      </c>
      <c r="F34" s="104">
        <v>9000</v>
      </c>
      <c r="G34" s="104">
        <v>9000</v>
      </c>
      <c r="H34" s="104">
        <v>9000</v>
      </c>
      <c r="I34" s="104">
        <v>9000</v>
      </c>
      <c r="J34" s="104">
        <v>9000</v>
      </c>
      <c r="K34" s="104">
        <v>9000</v>
      </c>
      <c r="L34" s="104">
        <v>9000</v>
      </c>
      <c r="M34" s="104">
        <v>9000</v>
      </c>
      <c r="N34" s="104">
        <v>9000</v>
      </c>
      <c r="O34" s="386">
        <f t="shared" si="15"/>
        <v>108000</v>
      </c>
    </row>
    <row r="35" spans="1:15" ht="24" thickBot="1" x14ac:dyDescent="0.6">
      <c r="A35" s="377" t="s">
        <v>35</v>
      </c>
      <c r="B35" s="377"/>
      <c r="C35" s="104">
        <v>5000</v>
      </c>
      <c r="D35" s="104">
        <v>5000</v>
      </c>
      <c r="E35" s="104">
        <v>5000</v>
      </c>
      <c r="F35" s="104">
        <v>5000</v>
      </c>
      <c r="G35" s="104">
        <v>5000</v>
      </c>
      <c r="H35" s="104">
        <v>5000</v>
      </c>
      <c r="I35" s="104">
        <v>5000</v>
      </c>
      <c r="J35" s="104">
        <v>5000</v>
      </c>
      <c r="K35" s="104">
        <v>5000</v>
      </c>
      <c r="L35" s="104">
        <v>5000</v>
      </c>
      <c r="M35" s="104">
        <v>5000</v>
      </c>
      <c r="N35" s="104">
        <v>5000</v>
      </c>
      <c r="O35" s="386">
        <f t="shared" si="15"/>
        <v>60000</v>
      </c>
    </row>
    <row r="36" spans="1:15" ht="24" thickBot="1" x14ac:dyDescent="0.6">
      <c r="A36" s="377" t="s">
        <v>36</v>
      </c>
      <c r="B36" s="377"/>
      <c r="C36" s="104">
        <f>(C22*(15/12)/26)</f>
        <v>15384.615384615385</v>
      </c>
      <c r="D36" s="104">
        <f t="shared" ref="D36:M36" si="19">(D22*(15/12)/26)</f>
        <v>15384.615384615385</v>
      </c>
      <c r="E36" s="104">
        <f t="shared" si="19"/>
        <v>15384.615384615385</v>
      </c>
      <c r="F36" s="104">
        <f t="shared" si="19"/>
        <v>15384.615384615385</v>
      </c>
      <c r="G36" s="104">
        <f t="shared" si="19"/>
        <v>15384.615384615385</v>
      </c>
      <c r="H36" s="104">
        <f t="shared" si="19"/>
        <v>15384.615384615385</v>
      </c>
      <c r="I36" s="104">
        <f t="shared" si="19"/>
        <v>15384.615384615385</v>
      </c>
      <c r="J36" s="104">
        <f t="shared" si="19"/>
        <v>15384.615384615385</v>
      </c>
      <c r="K36" s="104">
        <f t="shared" si="19"/>
        <v>15384.615384615385</v>
      </c>
      <c r="L36" s="104">
        <f t="shared" si="19"/>
        <v>15384.615384615385</v>
      </c>
      <c r="M36" s="104">
        <f t="shared" si="19"/>
        <v>15384.615384615385</v>
      </c>
      <c r="N36" s="104">
        <f>(N22*(15/12)/26)</f>
        <v>15384.615384615385</v>
      </c>
      <c r="O36" s="386">
        <f t="shared" si="15"/>
        <v>184615.3846153846</v>
      </c>
    </row>
    <row r="37" spans="1:15" ht="24" thickBot="1" x14ac:dyDescent="0.6">
      <c r="A37" s="377" t="s">
        <v>37</v>
      </c>
      <c r="B37" s="377"/>
      <c r="C37" s="104">
        <f t="shared" ref="C37:N37" si="20">(C22*(30/12)/26)</f>
        <v>30769.23076923077</v>
      </c>
      <c r="D37" s="104">
        <f t="shared" si="20"/>
        <v>30769.23076923077</v>
      </c>
      <c r="E37" s="104">
        <f t="shared" si="20"/>
        <v>30769.23076923077</v>
      </c>
      <c r="F37" s="104">
        <f t="shared" si="20"/>
        <v>30769.23076923077</v>
      </c>
      <c r="G37" s="104">
        <f t="shared" si="20"/>
        <v>30769.23076923077</v>
      </c>
      <c r="H37" s="104">
        <f t="shared" si="20"/>
        <v>30769.23076923077</v>
      </c>
      <c r="I37" s="104">
        <f t="shared" si="20"/>
        <v>30769.23076923077</v>
      </c>
      <c r="J37" s="104">
        <f t="shared" si="20"/>
        <v>30769.23076923077</v>
      </c>
      <c r="K37" s="104">
        <f t="shared" si="20"/>
        <v>30769.23076923077</v>
      </c>
      <c r="L37" s="104">
        <f t="shared" si="20"/>
        <v>30769.23076923077</v>
      </c>
      <c r="M37" s="104">
        <f t="shared" si="20"/>
        <v>30769.23076923077</v>
      </c>
      <c r="N37" s="104">
        <f t="shared" si="20"/>
        <v>30769.23076923077</v>
      </c>
      <c r="O37" s="386">
        <f t="shared" si="15"/>
        <v>369230.76923076919</v>
      </c>
    </row>
    <row r="38" spans="1:15" ht="24" thickBot="1" x14ac:dyDescent="0.6">
      <c r="A38" s="377" t="s">
        <v>38</v>
      </c>
      <c r="B38" s="377"/>
      <c r="C38" s="104">
        <v>1200</v>
      </c>
      <c r="D38" s="104">
        <v>1200</v>
      </c>
      <c r="E38" s="104">
        <v>1200</v>
      </c>
      <c r="F38" s="104">
        <v>1200</v>
      </c>
      <c r="G38" s="104">
        <v>1200</v>
      </c>
      <c r="H38" s="104">
        <v>1200</v>
      </c>
      <c r="I38" s="104">
        <v>1200</v>
      </c>
      <c r="J38" s="104">
        <v>1200</v>
      </c>
      <c r="K38" s="104">
        <v>1200</v>
      </c>
      <c r="L38" s="104">
        <v>1200</v>
      </c>
      <c r="M38" s="104">
        <v>1200</v>
      </c>
      <c r="N38" s="104">
        <v>1200</v>
      </c>
      <c r="O38" s="386">
        <f t="shared" si="15"/>
        <v>14400</v>
      </c>
    </row>
    <row r="39" spans="1:15" ht="24" thickBot="1" x14ac:dyDescent="0.6">
      <c r="A39" s="377" t="s">
        <v>39</v>
      </c>
      <c r="B39" s="377"/>
      <c r="C39" s="104">
        <v>300000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300000</v>
      </c>
      <c r="L39" s="104">
        <v>0</v>
      </c>
      <c r="M39" s="104">
        <v>0</v>
      </c>
      <c r="N39" s="104">
        <v>0</v>
      </c>
      <c r="O39" s="386">
        <f t="shared" si="15"/>
        <v>600000</v>
      </c>
    </row>
    <row r="40" spans="1:15" ht="24" thickBot="1" x14ac:dyDescent="0.6">
      <c r="A40" s="377" t="s">
        <v>40</v>
      </c>
      <c r="B40" s="377"/>
      <c r="C40" s="104">
        <v>20000</v>
      </c>
      <c r="D40" s="104">
        <v>20000</v>
      </c>
      <c r="E40" s="104">
        <v>20000</v>
      </c>
      <c r="F40" s="104">
        <v>20000</v>
      </c>
      <c r="G40" s="104">
        <v>20000</v>
      </c>
      <c r="H40" s="104">
        <v>20000</v>
      </c>
      <c r="I40" s="104">
        <v>20000</v>
      </c>
      <c r="J40" s="104">
        <v>20000</v>
      </c>
      <c r="K40" s="104">
        <v>20000</v>
      </c>
      <c r="L40" s="104">
        <v>20000</v>
      </c>
      <c r="M40" s="104">
        <v>20000</v>
      </c>
      <c r="N40" s="104">
        <v>20000</v>
      </c>
      <c r="O40" s="386">
        <f t="shared" si="15"/>
        <v>240000</v>
      </c>
    </row>
    <row r="41" spans="1:15" ht="24" thickBot="1" x14ac:dyDescent="0.6">
      <c r="A41" s="377" t="s">
        <v>41</v>
      </c>
      <c r="B41" s="377"/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386">
        <f t="shared" si="15"/>
        <v>0</v>
      </c>
    </row>
    <row r="42" spans="1:15" ht="24" thickBot="1" x14ac:dyDescent="0.6">
      <c r="A42" s="377" t="s">
        <v>42</v>
      </c>
      <c r="B42" s="377"/>
      <c r="C42" s="104">
        <v>4000</v>
      </c>
      <c r="D42" s="104">
        <v>4000</v>
      </c>
      <c r="E42" s="104">
        <v>4000</v>
      </c>
      <c r="F42" s="104">
        <v>4000</v>
      </c>
      <c r="G42" s="104">
        <v>4000</v>
      </c>
      <c r="H42" s="104">
        <v>4000</v>
      </c>
      <c r="I42" s="104">
        <v>4000</v>
      </c>
      <c r="J42" s="104">
        <v>4000</v>
      </c>
      <c r="K42" s="104">
        <v>4000</v>
      </c>
      <c r="L42" s="104">
        <v>4000</v>
      </c>
      <c r="M42" s="104">
        <v>4000</v>
      </c>
      <c r="N42" s="104">
        <v>4000</v>
      </c>
      <c r="O42" s="386">
        <f t="shared" si="15"/>
        <v>48000</v>
      </c>
    </row>
    <row r="43" spans="1:15" ht="24" thickBot="1" x14ac:dyDescent="0.6">
      <c r="A43" s="377" t="s">
        <v>43</v>
      </c>
      <c r="B43" s="377"/>
      <c r="C43" s="104">
        <v>20000</v>
      </c>
      <c r="D43" s="104">
        <v>20000</v>
      </c>
      <c r="E43" s="104">
        <v>20000</v>
      </c>
      <c r="F43" s="104">
        <v>20000</v>
      </c>
      <c r="G43" s="104">
        <v>20000</v>
      </c>
      <c r="H43" s="104">
        <v>20000</v>
      </c>
      <c r="I43" s="104">
        <v>20000</v>
      </c>
      <c r="J43" s="104">
        <v>20000</v>
      </c>
      <c r="K43" s="104">
        <v>20000</v>
      </c>
      <c r="L43" s="104">
        <v>20000</v>
      </c>
      <c r="M43" s="104">
        <v>20000</v>
      </c>
      <c r="N43" s="104">
        <v>20000</v>
      </c>
      <c r="O43" s="386">
        <f t="shared" si="15"/>
        <v>240000</v>
      </c>
    </row>
    <row r="44" spans="1:15" ht="24" thickBot="1" x14ac:dyDescent="0.6">
      <c r="A44" s="377" t="s">
        <v>44</v>
      </c>
      <c r="B44" s="377"/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  <c r="M44" s="104">
        <v>0</v>
      </c>
      <c r="N44" s="104">
        <v>0</v>
      </c>
      <c r="O44" s="386">
        <f t="shared" si="15"/>
        <v>0</v>
      </c>
    </row>
    <row r="45" spans="1:15" ht="24" thickBot="1" x14ac:dyDescent="0.6">
      <c r="A45" s="377" t="s">
        <v>45</v>
      </c>
      <c r="B45" s="377"/>
      <c r="C45" s="104">
        <v>20000</v>
      </c>
      <c r="D45" s="104">
        <v>20000</v>
      </c>
      <c r="E45" s="104">
        <v>20000</v>
      </c>
      <c r="F45" s="104">
        <v>20000</v>
      </c>
      <c r="G45" s="104">
        <v>20000</v>
      </c>
      <c r="H45" s="104">
        <v>20000</v>
      </c>
      <c r="I45" s="104">
        <v>20000</v>
      </c>
      <c r="J45" s="104">
        <v>20000</v>
      </c>
      <c r="K45" s="104">
        <v>20000</v>
      </c>
      <c r="L45" s="104">
        <v>20000</v>
      </c>
      <c r="M45" s="104">
        <v>20000</v>
      </c>
      <c r="N45" s="104">
        <v>20000</v>
      </c>
      <c r="O45" s="386">
        <f t="shared" si="15"/>
        <v>240000</v>
      </c>
    </row>
    <row r="46" spans="1:15" ht="24" thickBot="1" x14ac:dyDescent="0.6">
      <c r="A46" s="377" t="s">
        <v>46</v>
      </c>
      <c r="B46" s="377"/>
      <c r="C46" s="104">
        <v>10000</v>
      </c>
      <c r="D46" s="104">
        <v>10000</v>
      </c>
      <c r="E46" s="104">
        <v>10000</v>
      </c>
      <c r="F46" s="104">
        <v>10000</v>
      </c>
      <c r="G46" s="104">
        <v>10000</v>
      </c>
      <c r="H46" s="104">
        <v>10000</v>
      </c>
      <c r="I46" s="104">
        <v>10000</v>
      </c>
      <c r="J46" s="104">
        <v>10000</v>
      </c>
      <c r="K46" s="104">
        <v>10000</v>
      </c>
      <c r="L46" s="104">
        <v>10000</v>
      </c>
      <c r="M46" s="104">
        <v>10000</v>
      </c>
      <c r="N46" s="104">
        <v>10000</v>
      </c>
      <c r="O46" s="386">
        <f t="shared" si="15"/>
        <v>120000</v>
      </c>
    </row>
    <row r="47" spans="1:15" ht="24" thickBot="1" x14ac:dyDescent="0.6">
      <c r="A47" s="377" t="s">
        <v>48</v>
      </c>
      <c r="B47" s="377"/>
      <c r="C47" s="104">
        <v>10000</v>
      </c>
      <c r="D47" s="104">
        <v>10000</v>
      </c>
      <c r="E47" s="104">
        <v>10000</v>
      </c>
      <c r="F47" s="104">
        <v>10000</v>
      </c>
      <c r="G47" s="104">
        <v>10000</v>
      </c>
      <c r="H47" s="104">
        <v>10000</v>
      </c>
      <c r="I47" s="104">
        <v>10000</v>
      </c>
      <c r="J47" s="104">
        <v>10000</v>
      </c>
      <c r="K47" s="104">
        <v>10000</v>
      </c>
      <c r="L47" s="104">
        <v>10000</v>
      </c>
      <c r="M47" s="104">
        <v>10000</v>
      </c>
      <c r="N47" s="104">
        <v>10000</v>
      </c>
      <c r="O47" s="386">
        <f t="shared" si="15"/>
        <v>120000</v>
      </c>
    </row>
    <row r="48" spans="1:15" ht="18" x14ac:dyDescent="0.4">
      <c r="A48" s="380" t="s">
        <v>50</v>
      </c>
      <c r="B48" s="380"/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>
        <v>0</v>
      </c>
      <c r="N48" s="104">
        <f>V79</f>
        <v>0</v>
      </c>
      <c r="O48" s="388"/>
    </row>
    <row r="49" spans="1:15" ht="18.5" thickBot="1" x14ac:dyDescent="0.45">
      <c r="A49" s="377" t="s">
        <v>51</v>
      </c>
      <c r="B49" s="377"/>
      <c r="C49" s="104">
        <v>0</v>
      </c>
      <c r="D49" s="104">
        <f t="shared" ref="D49:N49" si="21">C49</f>
        <v>0</v>
      </c>
      <c r="E49" s="104">
        <f t="shared" si="21"/>
        <v>0</v>
      </c>
      <c r="F49" s="104">
        <f t="shared" si="21"/>
        <v>0</v>
      </c>
      <c r="G49" s="104">
        <f t="shared" si="21"/>
        <v>0</v>
      </c>
      <c r="H49" s="104">
        <f t="shared" si="21"/>
        <v>0</v>
      </c>
      <c r="I49" s="104">
        <f t="shared" si="21"/>
        <v>0</v>
      </c>
      <c r="J49" s="104">
        <f t="shared" si="21"/>
        <v>0</v>
      </c>
      <c r="K49" s="104">
        <f t="shared" si="21"/>
        <v>0</v>
      </c>
      <c r="L49" s="104">
        <f t="shared" si="21"/>
        <v>0</v>
      </c>
      <c r="M49" s="104">
        <f t="shared" si="21"/>
        <v>0</v>
      </c>
      <c r="N49" s="104">
        <f t="shared" si="21"/>
        <v>0</v>
      </c>
      <c r="O49" s="388"/>
    </row>
    <row r="50" spans="1:15" ht="24" thickBot="1" x14ac:dyDescent="0.6">
      <c r="A50" s="381" t="s">
        <v>52</v>
      </c>
      <c r="B50" s="381"/>
      <c r="C50" s="126">
        <f t="shared" ref="C50:N50" si="22">SUM(C22:C49)</f>
        <v>827103.84615384613</v>
      </c>
      <c r="D50" s="126">
        <f t="shared" si="22"/>
        <v>1527103.8461538462</v>
      </c>
      <c r="E50" s="126">
        <f t="shared" si="22"/>
        <v>1527103.8461538462</v>
      </c>
      <c r="F50" s="126">
        <f t="shared" si="22"/>
        <v>1527103.8461538462</v>
      </c>
      <c r="G50" s="126">
        <f t="shared" si="22"/>
        <v>1527103.8461538462</v>
      </c>
      <c r="H50" s="126">
        <f t="shared" si="22"/>
        <v>1527103.8461538462</v>
      </c>
      <c r="I50" s="126">
        <f t="shared" si="22"/>
        <v>1527103.8461538462</v>
      </c>
      <c r="J50" s="126">
        <f t="shared" si="22"/>
        <v>1527103.8461538462</v>
      </c>
      <c r="K50" s="126">
        <f t="shared" si="22"/>
        <v>1827103.8461538462</v>
      </c>
      <c r="L50" s="126">
        <f t="shared" si="22"/>
        <v>1527103.8461538462</v>
      </c>
      <c r="M50" s="126">
        <f t="shared" si="22"/>
        <v>1527103.8461538462</v>
      </c>
      <c r="N50" s="126">
        <f t="shared" si="22"/>
        <v>527103.84615384613</v>
      </c>
      <c r="O50" s="386">
        <f>SUM(C50:N50)</f>
        <v>16925246.153846156</v>
      </c>
    </row>
    <row r="51" spans="1:15" ht="18.5" thickBot="1" x14ac:dyDescent="0.45">
      <c r="A51" s="382"/>
      <c r="B51" s="382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388"/>
    </row>
    <row r="52" spans="1:15" ht="24" thickBot="1" x14ac:dyDescent="0.6">
      <c r="A52" s="383" t="s">
        <v>147</v>
      </c>
      <c r="B52" s="383"/>
      <c r="C52" s="140">
        <f>C19-C50</f>
        <v>-827103.84615384613</v>
      </c>
      <c r="D52" s="140">
        <f t="shared" ref="D52:N52" si="23">D19-D50</f>
        <v>14222896.153846154</v>
      </c>
      <c r="E52" s="140">
        <f t="shared" si="23"/>
        <v>14222896.153846154</v>
      </c>
      <c r="F52" s="140">
        <f t="shared" si="23"/>
        <v>14222896.153846154</v>
      </c>
      <c r="G52" s="140">
        <f t="shared" si="23"/>
        <v>16847896.153846156</v>
      </c>
      <c r="H52" s="140">
        <f t="shared" si="23"/>
        <v>16847896.153846156</v>
      </c>
      <c r="I52" s="140">
        <f t="shared" si="23"/>
        <v>16847896.153846156</v>
      </c>
      <c r="J52" s="140">
        <f t="shared" si="23"/>
        <v>16847896.153846156</v>
      </c>
      <c r="K52" s="140">
        <f t="shared" si="23"/>
        <v>16547896.153846158</v>
      </c>
      <c r="L52" s="140">
        <f t="shared" si="23"/>
        <v>16847896.153846156</v>
      </c>
      <c r="M52" s="140">
        <f t="shared" si="23"/>
        <v>16847896.153846156</v>
      </c>
      <c r="N52" s="140">
        <f t="shared" si="23"/>
        <v>-527103.84615384613</v>
      </c>
      <c r="O52" s="386">
        <f>SUM(C52:N52)</f>
        <v>158949753.84615386</v>
      </c>
    </row>
    <row r="53" spans="1:15" ht="15" thickTop="1" x14ac:dyDescent="0.35"/>
  </sheetData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6"/>
  <sheetViews>
    <sheetView zoomScale="75" zoomScaleNormal="75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U52" sqref="U52"/>
    </sheetView>
  </sheetViews>
  <sheetFormatPr defaultColWidth="9.1796875" defaultRowHeight="18.5" x14ac:dyDescent="0.35"/>
  <cols>
    <col min="1" max="1" width="62.81640625" style="100" customWidth="1"/>
    <col min="2" max="2" width="21.7265625" style="100" customWidth="1"/>
    <col min="3" max="3" width="32.26953125" style="87" customWidth="1"/>
    <col min="4" max="4" width="23.7265625" style="87" customWidth="1"/>
    <col min="5" max="5" width="22.453125" style="87" customWidth="1"/>
    <col min="6" max="7" width="24.1796875" style="87" customWidth="1"/>
    <col min="8" max="8" width="27" style="87" bestFit="1" customWidth="1"/>
    <col min="9" max="9" width="34.54296875" style="87" bestFit="1" customWidth="1"/>
    <col min="10" max="10" width="33.81640625" style="87" bestFit="1" customWidth="1"/>
    <col min="11" max="11" width="31.26953125" style="87" customWidth="1"/>
    <col min="12" max="12" width="25" style="87" customWidth="1"/>
    <col min="13" max="13" width="15.453125" style="87" bestFit="1" customWidth="1"/>
    <col min="14" max="14" width="33.81640625" style="87" customWidth="1"/>
    <col min="15" max="15" width="14.1796875" style="131" bestFit="1" customWidth="1"/>
    <col min="16" max="16" width="17" style="87" bestFit="1" customWidth="1"/>
    <col min="17" max="17" width="41.7265625" style="87" customWidth="1"/>
    <col min="18" max="18" width="13.1796875" style="131" bestFit="1" customWidth="1"/>
    <col min="19" max="19" width="21.81640625" style="87" customWidth="1"/>
    <col min="20" max="20" width="42.453125" style="87" customWidth="1"/>
    <col min="21" max="21" width="32.7265625" style="87" customWidth="1"/>
    <col min="22" max="22" width="18.81640625" style="87" bestFit="1" customWidth="1"/>
    <col min="23" max="23" width="18" style="87" bestFit="1" customWidth="1"/>
    <col min="24" max="25" width="17" style="87" bestFit="1" customWidth="1"/>
    <col min="26" max="26" width="33.1796875" style="87" customWidth="1"/>
    <col min="27" max="27" width="18" style="87" bestFit="1" customWidth="1"/>
    <col min="28" max="28" width="18.7265625" style="87" bestFit="1" customWidth="1"/>
    <col min="29" max="29" width="23.453125" style="87" bestFit="1" customWidth="1"/>
    <col min="30" max="38" width="17" style="87" bestFit="1" customWidth="1"/>
    <col min="39" max="39" width="17" style="99" bestFit="1" customWidth="1"/>
    <col min="40" max="40" width="24.7265625" style="100" customWidth="1"/>
    <col min="41" max="41" width="21.54296875" style="100" bestFit="1" customWidth="1"/>
    <col min="42" max="42" width="23.81640625" style="100" bestFit="1" customWidth="1"/>
    <col min="43" max="43" width="13.1796875" style="100" bestFit="1" customWidth="1"/>
    <col min="44" max="44" width="16.54296875" style="100" customWidth="1"/>
    <col min="45" max="45" width="23.1796875" style="100" bestFit="1" customWidth="1"/>
    <col min="46" max="46" width="20.453125" style="100" customWidth="1"/>
    <col min="47" max="47" width="23" style="100" bestFit="1" customWidth="1"/>
    <col min="48" max="51" width="16.54296875" style="100" customWidth="1"/>
    <col min="52" max="16384" width="9.1796875" style="100"/>
  </cols>
  <sheetData>
    <row r="1" spans="1:48" x14ac:dyDescent="0.4">
      <c r="A1" s="9"/>
      <c r="B1" s="3"/>
      <c r="C1" s="627" t="s">
        <v>5</v>
      </c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 t="s">
        <v>6</v>
      </c>
      <c r="P1" s="627"/>
      <c r="Q1" s="627"/>
      <c r="R1" s="627"/>
      <c r="S1" s="627"/>
      <c r="T1" s="627"/>
      <c r="U1" s="627"/>
      <c r="V1" s="627"/>
      <c r="W1" s="627"/>
      <c r="X1" s="627"/>
      <c r="Y1" s="627"/>
      <c r="Z1" s="627"/>
      <c r="AA1" s="627" t="s">
        <v>7</v>
      </c>
      <c r="AB1" s="627"/>
      <c r="AC1" s="627"/>
      <c r="AD1" s="627"/>
      <c r="AE1" s="627"/>
      <c r="AF1" s="627"/>
      <c r="AG1" s="627"/>
      <c r="AH1" s="627"/>
      <c r="AI1" s="627"/>
      <c r="AJ1" s="627"/>
      <c r="AK1" s="627"/>
      <c r="AL1" s="627"/>
      <c r="AM1" s="101"/>
    </row>
    <row r="2" spans="1:48" x14ac:dyDescent="0.4">
      <c r="A2" s="12"/>
      <c r="B2" s="13"/>
      <c r="C2" s="77">
        <v>44044</v>
      </c>
      <c r="D2" s="77">
        <v>44075</v>
      </c>
      <c r="E2" s="77">
        <v>44105</v>
      </c>
      <c r="F2" s="77">
        <v>44136</v>
      </c>
      <c r="G2" s="77">
        <v>44166</v>
      </c>
      <c r="H2" s="77">
        <v>44197</v>
      </c>
      <c r="I2" s="77">
        <v>44228</v>
      </c>
      <c r="J2" s="77">
        <v>44256</v>
      </c>
      <c r="K2" s="77">
        <v>44287</v>
      </c>
      <c r="L2" s="77">
        <v>44317</v>
      </c>
      <c r="M2" s="77">
        <v>44348</v>
      </c>
      <c r="N2" s="77">
        <v>44378</v>
      </c>
      <c r="O2" s="77">
        <v>44410</v>
      </c>
      <c r="P2" s="77">
        <v>44440</v>
      </c>
      <c r="Q2" s="77">
        <v>44470</v>
      </c>
      <c r="R2" s="102">
        <v>44501</v>
      </c>
      <c r="S2" s="77">
        <v>44531</v>
      </c>
      <c r="T2" s="77">
        <v>44562</v>
      </c>
      <c r="U2" s="77">
        <v>44593</v>
      </c>
      <c r="V2" s="77">
        <v>44621</v>
      </c>
      <c r="W2" s="77">
        <v>44652</v>
      </c>
      <c r="X2" s="77">
        <v>44682</v>
      </c>
      <c r="Y2" s="77">
        <v>44713</v>
      </c>
      <c r="Z2" s="77">
        <v>44743</v>
      </c>
      <c r="AA2" s="77">
        <v>44774</v>
      </c>
      <c r="AB2" s="77">
        <v>44805</v>
      </c>
      <c r="AC2" s="77">
        <v>44835</v>
      </c>
      <c r="AD2" s="77">
        <v>44866</v>
      </c>
      <c r="AE2" s="77">
        <v>44896</v>
      </c>
      <c r="AF2" s="77">
        <v>44927</v>
      </c>
      <c r="AG2" s="77">
        <v>44958</v>
      </c>
      <c r="AH2" s="77">
        <v>44986</v>
      </c>
      <c r="AI2" s="77">
        <v>45017</v>
      </c>
      <c r="AJ2" s="77">
        <v>45047</v>
      </c>
      <c r="AK2" s="77">
        <v>45078</v>
      </c>
      <c r="AL2" s="77">
        <v>45108</v>
      </c>
      <c r="AM2" s="77" t="s">
        <v>148</v>
      </c>
    </row>
    <row r="3" spans="1:48" x14ac:dyDescent="0.3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03"/>
      <c r="P3" s="7"/>
      <c r="Q3" s="7"/>
      <c r="R3" s="10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48" s="3" customFormat="1" ht="24" customHeight="1" x14ac:dyDescent="0.4">
      <c r="A4" s="1" t="s">
        <v>1</v>
      </c>
      <c r="B4" s="2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104"/>
      <c r="P4" s="78"/>
      <c r="Q4" s="78"/>
      <c r="R4" s="104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5"/>
    </row>
    <row r="5" spans="1:48" s="3" customFormat="1" ht="30" customHeight="1" x14ac:dyDescent="0.45">
      <c r="A5" s="105" t="s">
        <v>124</v>
      </c>
      <c r="B5" s="106">
        <v>5</v>
      </c>
      <c r="C5" s="79">
        <v>50</v>
      </c>
      <c r="D5" s="79">
        <v>50</v>
      </c>
      <c r="E5" s="79">
        <v>50</v>
      </c>
      <c r="F5" s="79">
        <v>50</v>
      </c>
      <c r="G5" s="79">
        <v>50</v>
      </c>
      <c r="H5" s="79">
        <v>50</v>
      </c>
      <c r="I5" s="79">
        <v>50</v>
      </c>
      <c r="J5" s="79">
        <v>50</v>
      </c>
      <c r="K5" s="79">
        <v>50</v>
      </c>
      <c r="L5" s="79">
        <v>50</v>
      </c>
      <c r="M5" s="79">
        <v>0</v>
      </c>
      <c r="N5" s="79">
        <v>0</v>
      </c>
      <c r="O5" s="104">
        <v>0</v>
      </c>
      <c r="P5" s="79">
        <v>1500</v>
      </c>
      <c r="Q5" s="79">
        <v>4500</v>
      </c>
      <c r="R5" s="104">
        <v>6500</v>
      </c>
      <c r="S5" s="79">
        <v>0</v>
      </c>
      <c r="T5" s="79">
        <v>0</v>
      </c>
      <c r="U5" s="79">
        <v>6500</v>
      </c>
      <c r="V5" s="79">
        <v>10000</v>
      </c>
      <c r="W5" s="79">
        <v>10000</v>
      </c>
      <c r="X5" s="79">
        <v>0</v>
      </c>
      <c r="Y5" s="79">
        <v>0</v>
      </c>
      <c r="Z5" s="79">
        <v>0</v>
      </c>
      <c r="AA5" s="79">
        <v>0</v>
      </c>
      <c r="AB5" s="79">
        <v>5000</v>
      </c>
      <c r="AC5" s="79">
        <v>7500</v>
      </c>
      <c r="AD5" s="79">
        <v>10000</v>
      </c>
      <c r="AE5" s="79">
        <v>0</v>
      </c>
      <c r="AF5" s="79">
        <v>0</v>
      </c>
      <c r="AG5" s="79">
        <v>7500</v>
      </c>
      <c r="AH5" s="79">
        <v>10000</v>
      </c>
      <c r="AI5" s="79">
        <v>10000</v>
      </c>
      <c r="AJ5" s="79">
        <v>0</v>
      </c>
      <c r="AK5" s="79">
        <v>0</v>
      </c>
      <c r="AL5" s="79">
        <v>0</v>
      </c>
      <c r="AM5" s="107">
        <f>SUM(C5:AL5)</f>
        <v>89500</v>
      </c>
      <c r="AN5" s="21">
        <f t="shared" ref="AN5:AN8" si="0">SUM(C5:N5)</f>
        <v>500</v>
      </c>
      <c r="AO5" s="21">
        <f t="shared" ref="AO5:AO8" si="1">SUM(O5:Z5)</f>
        <v>39000</v>
      </c>
      <c r="AP5" s="21">
        <f t="shared" ref="AP5:AP8" si="2">SUM(AA5:AL5)</f>
        <v>50000</v>
      </c>
    </row>
    <row r="6" spans="1:48" s="3" customFormat="1" ht="30" customHeight="1" x14ac:dyDescent="0.45">
      <c r="A6" s="105" t="s">
        <v>125</v>
      </c>
      <c r="B6" s="106">
        <v>5</v>
      </c>
      <c r="C6" s="79">
        <v>50</v>
      </c>
      <c r="D6" s="79">
        <v>50</v>
      </c>
      <c r="E6" s="79">
        <v>50</v>
      </c>
      <c r="F6" s="79">
        <v>50</v>
      </c>
      <c r="G6" s="79">
        <v>50</v>
      </c>
      <c r="H6" s="79">
        <v>50</v>
      </c>
      <c r="I6" s="79">
        <v>50</v>
      </c>
      <c r="J6" s="79">
        <v>50</v>
      </c>
      <c r="K6" s="79">
        <v>50</v>
      </c>
      <c r="L6" s="79">
        <v>50</v>
      </c>
      <c r="M6" s="79">
        <v>0</v>
      </c>
      <c r="N6" s="79">
        <v>0</v>
      </c>
      <c r="O6" s="104">
        <v>0</v>
      </c>
      <c r="P6" s="79">
        <v>1500</v>
      </c>
      <c r="Q6" s="79">
        <v>4500</v>
      </c>
      <c r="R6" s="104">
        <v>6500</v>
      </c>
      <c r="S6" s="79">
        <v>0</v>
      </c>
      <c r="T6" s="79">
        <v>0</v>
      </c>
      <c r="U6" s="79">
        <v>6500</v>
      </c>
      <c r="V6" s="79">
        <v>10000</v>
      </c>
      <c r="W6" s="79">
        <v>10000</v>
      </c>
      <c r="X6" s="79">
        <v>0</v>
      </c>
      <c r="Y6" s="79">
        <v>0</v>
      </c>
      <c r="Z6" s="79">
        <v>0</v>
      </c>
      <c r="AA6" s="79">
        <v>0</v>
      </c>
      <c r="AB6" s="79">
        <v>5000</v>
      </c>
      <c r="AC6" s="79">
        <v>7500</v>
      </c>
      <c r="AD6" s="79">
        <v>10000</v>
      </c>
      <c r="AE6" s="79">
        <v>0</v>
      </c>
      <c r="AF6" s="79">
        <v>0</v>
      </c>
      <c r="AG6" s="79">
        <v>7500</v>
      </c>
      <c r="AH6" s="79">
        <v>10000</v>
      </c>
      <c r="AI6" s="79">
        <v>10000</v>
      </c>
      <c r="AJ6" s="79">
        <v>0</v>
      </c>
      <c r="AK6" s="79">
        <v>0</v>
      </c>
      <c r="AL6" s="79">
        <v>0</v>
      </c>
      <c r="AM6" s="107">
        <f t="shared" ref="AM6:AM7" si="3">SUM(C6:AL6)</f>
        <v>89500</v>
      </c>
      <c r="AN6" s="21">
        <f t="shared" si="0"/>
        <v>500</v>
      </c>
      <c r="AO6" s="21">
        <f t="shared" si="1"/>
        <v>39000</v>
      </c>
      <c r="AP6" s="21">
        <f t="shared" si="2"/>
        <v>50000</v>
      </c>
    </row>
    <row r="7" spans="1:48" s="3" customFormat="1" ht="30" customHeight="1" x14ac:dyDescent="0.45">
      <c r="A7" s="105" t="s">
        <v>126</v>
      </c>
      <c r="B7" s="106">
        <v>5</v>
      </c>
      <c r="C7" s="79">
        <v>50</v>
      </c>
      <c r="D7" s="79">
        <v>50</v>
      </c>
      <c r="E7" s="79">
        <v>50</v>
      </c>
      <c r="F7" s="79">
        <v>50</v>
      </c>
      <c r="G7" s="79">
        <v>50</v>
      </c>
      <c r="H7" s="79">
        <v>50</v>
      </c>
      <c r="I7" s="79">
        <v>50</v>
      </c>
      <c r="J7" s="79">
        <v>50</v>
      </c>
      <c r="K7" s="79">
        <v>50</v>
      </c>
      <c r="L7" s="79">
        <v>50</v>
      </c>
      <c r="M7" s="79">
        <v>0</v>
      </c>
      <c r="N7" s="79">
        <v>0</v>
      </c>
      <c r="O7" s="104">
        <v>0</v>
      </c>
      <c r="P7" s="79">
        <v>1500</v>
      </c>
      <c r="Q7" s="79">
        <v>4500</v>
      </c>
      <c r="R7" s="104">
        <v>6500</v>
      </c>
      <c r="S7" s="79">
        <v>0</v>
      </c>
      <c r="T7" s="79">
        <v>0</v>
      </c>
      <c r="U7" s="79">
        <v>6500</v>
      </c>
      <c r="V7" s="79">
        <v>10000</v>
      </c>
      <c r="W7" s="79">
        <v>10000</v>
      </c>
      <c r="X7" s="79">
        <v>0</v>
      </c>
      <c r="Y7" s="79">
        <v>0</v>
      </c>
      <c r="Z7" s="79">
        <v>0</v>
      </c>
      <c r="AA7" s="79">
        <v>0</v>
      </c>
      <c r="AB7" s="79">
        <v>5000</v>
      </c>
      <c r="AC7" s="79">
        <v>7500</v>
      </c>
      <c r="AD7" s="79">
        <v>10000</v>
      </c>
      <c r="AE7" s="79">
        <v>0</v>
      </c>
      <c r="AF7" s="79">
        <v>0</v>
      </c>
      <c r="AG7" s="79">
        <v>7500</v>
      </c>
      <c r="AH7" s="79">
        <v>10000</v>
      </c>
      <c r="AI7" s="79">
        <v>10000</v>
      </c>
      <c r="AJ7" s="79">
        <v>0</v>
      </c>
      <c r="AK7" s="79">
        <v>0</v>
      </c>
      <c r="AL7" s="79">
        <v>0</v>
      </c>
      <c r="AM7" s="107">
        <f t="shared" si="3"/>
        <v>89500</v>
      </c>
      <c r="AN7" s="21">
        <f t="shared" si="0"/>
        <v>500</v>
      </c>
      <c r="AO7" s="21">
        <f t="shared" si="1"/>
        <v>39000</v>
      </c>
      <c r="AP7" s="21">
        <f t="shared" si="2"/>
        <v>50000</v>
      </c>
    </row>
    <row r="8" spans="1:48" s="3" customFormat="1" ht="24" customHeight="1" x14ac:dyDescent="0.4">
      <c r="A8" s="4" t="s">
        <v>3</v>
      </c>
      <c r="B8" s="5"/>
      <c r="C8" s="80">
        <f>SUM(C5:C7)</f>
        <v>150</v>
      </c>
      <c r="D8" s="80">
        <f t="shared" ref="D8:AM8" si="4">SUM(D5:D7)</f>
        <v>150</v>
      </c>
      <c r="E8" s="80">
        <f t="shared" si="4"/>
        <v>150</v>
      </c>
      <c r="F8" s="80">
        <f t="shared" si="4"/>
        <v>150</v>
      </c>
      <c r="G8" s="80">
        <f t="shared" si="4"/>
        <v>150</v>
      </c>
      <c r="H8" s="80">
        <f t="shared" si="4"/>
        <v>150</v>
      </c>
      <c r="I8" s="80">
        <f>SUM(I5:I7)</f>
        <v>150</v>
      </c>
      <c r="J8" s="80">
        <f t="shared" si="4"/>
        <v>150</v>
      </c>
      <c r="K8" s="80">
        <f t="shared" si="4"/>
        <v>150</v>
      </c>
      <c r="L8" s="80">
        <f t="shared" si="4"/>
        <v>150</v>
      </c>
      <c r="M8" s="80">
        <f t="shared" si="4"/>
        <v>0</v>
      </c>
      <c r="N8" s="80">
        <f t="shared" si="4"/>
        <v>0</v>
      </c>
      <c r="O8" s="108">
        <f t="shared" si="4"/>
        <v>0</v>
      </c>
      <c r="P8" s="80">
        <f t="shared" si="4"/>
        <v>4500</v>
      </c>
      <c r="Q8" s="80">
        <f t="shared" si="4"/>
        <v>13500</v>
      </c>
      <c r="R8" s="108">
        <f t="shared" si="4"/>
        <v>19500</v>
      </c>
      <c r="S8" s="80">
        <f t="shared" si="4"/>
        <v>0</v>
      </c>
      <c r="T8" s="80">
        <f t="shared" si="4"/>
        <v>0</v>
      </c>
      <c r="U8" s="80">
        <f t="shared" si="4"/>
        <v>19500</v>
      </c>
      <c r="V8" s="80">
        <f t="shared" si="4"/>
        <v>30000</v>
      </c>
      <c r="W8" s="80">
        <f t="shared" si="4"/>
        <v>30000</v>
      </c>
      <c r="X8" s="80">
        <f t="shared" si="4"/>
        <v>0</v>
      </c>
      <c r="Y8" s="80">
        <f t="shared" si="4"/>
        <v>0</v>
      </c>
      <c r="Z8" s="80">
        <f t="shared" si="4"/>
        <v>0</v>
      </c>
      <c r="AA8" s="80">
        <f>SUM(AA5:AA7)</f>
        <v>0</v>
      </c>
      <c r="AB8" s="80">
        <f t="shared" si="4"/>
        <v>15000</v>
      </c>
      <c r="AC8" s="80">
        <f t="shared" si="4"/>
        <v>22500</v>
      </c>
      <c r="AD8" s="80">
        <f t="shared" si="4"/>
        <v>30000</v>
      </c>
      <c r="AE8" s="80">
        <f t="shared" si="4"/>
        <v>0</v>
      </c>
      <c r="AF8" s="80">
        <f t="shared" si="4"/>
        <v>0</v>
      </c>
      <c r="AG8" s="80">
        <f t="shared" si="4"/>
        <v>22500</v>
      </c>
      <c r="AH8" s="80">
        <f t="shared" si="4"/>
        <v>30000</v>
      </c>
      <c r="AI8" s="80">
        <f t="shared" si="4"/>
        <v>30000</v>
      </c>
      <c r="AJ8" s="80">
        <f t="shared" si="4"/>
        <v>0</v>
      </c>
      <c r="AK8" s="80">
        <f t="shared" si="4"/>
        <v>0</v>
      </c>
      <c r="AL8" s="80">
        <f t="shared" si="4"/>
        <v>0</v>
      </c>
      <c r="AM8" s="109">
        <f t="shared" si="4"/>
        <v>268500</v>
      </c>
      <c r="AN8" s="21">
        <f t="shared" si="0"/>
        <v>1500</v>
      </c>
      <c r="AO8" s="21">
        <f t="shared" si="1"/>
        <v>117000</v>
      </c>
      <c r="AP8" s="21">
        <f t="shared" si="2"/>
        <v>150000</v>
      </c>
    </row>
    <row r="9" spans="1:48" s="3" customFormat="1" ht="24" customHeight="1" x14ac:dyDescent="0.4">
      <c r="A9" s="1" t="s">
        <v>4</v>
      </c>
      <c r="B9" s="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110">
        <f>SUM(C8:N8)</f>
        <v>1500</v>
      </c>
      <c r="O9" s="104"/>
      <c r="P9" s="78"/>
      <c r="Q9" s="78"/>
      <c r="R9" s="104"/>
      <c r="S9" s="78"/>
      <c r="T9" s="78"/>
      <c r="U9" s="78"/>
      <c r="V9" s="78"/>
      <c r="W9" s="78"/>
      <c r="X9" s="78"/>
      <c r="Y9" s="78"/>
      <c r="Z9" s="110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110"/>
      <c r="AM9" s="5"/>
      <c r="AO9" s="6"/>
      <c r="AP9" s="6"/>
    </row>
    <row r="10" spans="1:48" s="3" customFormat="1" ht="33" customHeight="1" x14ac:dyDescent="0.4">
      <c r="A10" s="111" t="s">
        <v>127</v>
      </c>
      <c r="B10" s="7"/>
      <c r="C10" s="81">
        <v>1</v>
      </c>
      <c r="D10" s="81">
        <v>2</v>
      </c>
      <c r="E10" s="81">
        <v>3</v>
      </c>
      <c r="F10" s="81">
        <v>4</v>
      </c>
      <c r="G10" s="81">
        <v>5</v>
      </c>
      <c r="H10" s="81">
        <v>6</v>
      </c>
      <c r="I10" s="81">
        <v>7</v>
      </c>
      <c r="J10" s="81">
        <v>8</v>
      </c>
      <c r="K10" s="81">
        <v>9</v>
      </c>
      <c r="L10" s="81">
        <v>10</v>
      </c>
      <c r="M10" s="81">
        <v>11</v>
      </c>
      <c r="N10" s="81">
        <v>12</v>
      </c>
      <c r="O10" s="112">
        <v>13</v>
      </c>
      <c r="P10" s="81">
        <v>14</v>
      </c>
      <c r="Q10" s="81">
        <v>15</v>
      </c>
      <c r="R10" s="112">
        <v>16</v>
      </c>
      <c r="S10" s="81">
        <v>17</v>
      </c>
      <c r="T10" s="81">
        <v>18</v>
      </c>
      <c r="U10" s="81">
        <v>19</v>
      </c>
      <c r="V10" s="81">
        <v>20</v>
      </c>
      <c r="W10" s="81">
        <v>21</v>
      </c>
      <c r="X10" s="81">
        <v>22</v>
      </c>
      <c r="Y10" s="81">
        <v>23</v>
      </c>
      <c r="Z10" s="81">
        <v>24</v>
      </c>
      <c r="AA10" s="81">
        <v>25</v>
      </c>
      <c r="AB10" s="81">
        <v>26</v>
      </c>
      <c r="AC10" s="81">
        <v>27</v>
      </c>
      <c r="AD10" s="81">
        <v>28</v>
      </c>
      <c r="AE10" s="81">
        <v>29</v>
      </c>
      <c r="AF10" s="81">
        <v>30</v>
      </c>
      <c r="AG10" s="81">
        <v>31</v>
      </c>
      <c r="AH10" s="81">
        <v>32</v>
      </c>
      <c r="AI10" s="81">
        <v>33</v>
      </c>
      <c r="AJ10" s="81">
        <v>34</v>
      </c>
      <c r="AK10" s="81">
        <v>35</v>
      </c>
      <c r="AL10" s="81">
        <v>36</v>
      </c>
      <c r="AM10" s="5"/>
      <c r="AN10" s="8"/>
      <c r="AO10" s="8"/>
      <c r="AP10" s="8"/>
      <c r="AR10" s="8"/>
      <c r="AS10" s="8"/>
      <c r="AT10" s="8"/>
    </row>
    <row r="11" spans="1:48" s="3" customFormat="1" ht="24" customHeight="1" x14ac:dyDescent="0.35">
      <c r="O11" s="68"/>
      <c r="R11" s="68"/>
      <c r="AN11" s="10"/>
      <c r="AO11" s="11"/>
      <c r="AP11" s="11"/>
    </row>
    <row r="12" spans="1:48" s="14" customFormat="1" ht="24" customHeight="1" x14ac:dyDescent="0.35">
      <c r="O12" s="68"/>
      <c r="R12" s="68"/>
    </row>
    <row r="13" spans="1:48" s="3" customFormat="1" ht="24" customHeight="1" x14ac:dyDescent="0.4">
      <c r="A13" s="15" t="s">
        <v>8</v>
      </c>
      <c r="B13" s="15"/>
      <c r="C13" s="82">
        <f>C5*5</f>
        <v>250</v>
      </c>
      <c r="D13" s="82">
        <f t="shared" ref="D13:AL15" si="5">D5*5</f>
        <v>250</v>
      </c>
      <c r="E13" s="82">
        <f t="shared" si="5"/>
        <v>250</v>
      </c>
      <c r="F13" s="82">
        <f t="shared" si="5"/>
        <v>250</v>
      </c>
      <c r="G13" s="82">
        <f t="shared" si="5"/>
        <v>250</v>
      </c>
      <c r="H13" s="82">
        <f t="shared" si="5"/>
        <v>250</v>
      </c>
      <c r="I13" s="82">
        <f t="shared" si="5"/>
        <v>250</v>
      </c>
      <c r="J13" s="82">
        <f t="shared" si="5"/>
        <v>250</v>
      </c>
      <c r="K13" s="82">
        <f t="shared" si="5"/>
        <v>250</v>
      </c>
      <c r="L13" s="82">
        <f t="shared" si="5"/>
        <v>250</v>
      </c>
      <c r="M13" s="82">
        <f t="shared" si="5"/>
        <v>0</v>
      </c>
      <c r="N13" s="82">
        <f t="shared" si="5"/>
        <v>0</v>
      </c>
      <c r="O13" s="113">
        <f t="shared" si="5"/>
        <v>0</v>
      </c>
      <c r="P13" s="82">
        <f t="shared" si="5"/>
        <v>7500</v>
      </c>
      <c r="Q13" s="82">
        <f t="shared" si="5"/>
        <v>22500</v>
      </c>
      <c r="R13" s="113">
        <f t="shared" si="5"/>
        <v>32500</v>
      </c>
      <c r="S13" s="82">
        <f t="shared" si="5"/>
        <v>0</v>
      </c>
      <c r="T13" s="82">
        <f t="shared" si="5"/>
        <v>0</v>
      </c>
      <c r="U13" s="82">
        <f t="shared" si="5"/>
        <v>32500</v>
      </c>
      <c r="V13" s="82">
        <f t="shared" si="5"/>
        <v>50000</v>
      </c>
      <c r="W13" s="82">
        <f t="shared" si="5"/>
        <v>50000</v>
      </c>
      <c r="X13" s="82">
        <f t="shared" si="5"/>
        <v>0</v>
      </c>
      <c r="Y13" s="82">
        <f t="shared" si="5"/>
        <v>0</v>
      </c>
      <c r="Z13" s="82">
        <f t="shared" si="5"/>
        <v>0</v>
      </c>
      <c r="AA13" s="82">
        <f t="shared" si="5"/>
        <v>0</v>
      </c>
      <c r="AB13" s="82">
        <f t="shared" si="5"/>
        <v>25000</v>
      </c>
      <c r="AC13" s="82">
        <f t="shared" si="5"/>
        <v>37500</v>
      </c>
      <c r="AD13" s="82">
        <f t="shared" si="5"/>
        <v>50000</v>
      </c>
      <c r="AE13" s="82">
        <f t="shared" si="5"/>
        <v>0</v>
      </c>
      <c r="AF13" s="82">
        <f t="shared" si="5"/>
        <v>0</v>
      </c>
      <c r="AG13" s="82">
        <f t="shared" si="5"/>
        <v>37500</v>
      </c>
      <c r="AH13" s="82">
        <f t="shared" si="5"/>
        <v>50000</v>
      </c>
      <c r="AI13" s="82">
        <f t="shared" si="5"/>
        <v>50000</v>
      </c>
      <c r="AJ13" s="82">
        <f t="shared" si="5"/>
        <v>0</v>
      </c>
      <c r="AK13" s="82">
        <f t="shared" si="5"/>
        <v>0</v>
      </c>
      <c r="AL13" s="82">
        <f t="shared" si="5"/>
        <v>0</v>
      </c>
      <c r="AM13" s="114">
        <f t="shared" ref="AM13:AM15" si="6">SUM(C13:AL13)</f>
        <v>447500</v>
      </c>
      <c r="AN13" s="21">
        <f>SUM(C13:N13)</f>
        <v>2500</v>
      </c>
      <c r="AO13" s="21">
        <f t="shared" ref="AO13:AO15" si="7">SUM(O13:Z13)</f>
        <v>195000</v>
      </c>
      <c r="AP13" s="21">
        <f t="shared" ref="AP13:AP15" si="8">SUM(AA13:AL13)</f>
        <v>250000</v>
      </c>
      <c r="AQ13" s="11">
        <f>AN13+AO13+AP13-AM13</f>
        <v>0</v>
      </c>
      <c r="AS13" s="115">
        <f>AM13/AM16</f>
        <v>0.33333333333333331</v>
      </c>
      <c r="AT13" s="116">
        <f>AP13+(AP13*20%)</f>
        <v>300000</v>
      </c>
      <c r="AU13" s="116">
        <f>AT13+(AT13*20%)</f>
        <v>360000</v>
      </c>
      <c r="AV13" s="116"/>
    </row>
    <row r="14" spans="1:48" s="3" customFormat="1" ht="24" customHeight="1" x14ac:dyDescent="0.4">
      <c r="A14" s="15" t="s">
        <v>9</v>
      </c>
      <c r="B14" s="15"/>
      <c r="C14" s="82">
        <f>C6*5</f>
        <v>250</v>
      </c>
      <c r="D14" s="82">
        <f t="shared" si="5"/>
        <v>250</v>
      </c>
      <c r="E14" s="82">
        <f t="shared" si="5"/>
        <v>250</v>
      </c>
      <c r="F14" s="82">
        <f t="shared" si="5"/>
        <v>250</v>
      </c>
      <c r="G14" s="82">
        <f t="shared" si="5"/>
        <v>250</v>
      </c>
      <c r="H14" s="82">
        <f t="shared" si="5"/>
        <v>250</v>
      </c>
      <c r="I14" s="82">
        <f t="shared" si="5"/>
        <v>250</v>
      </c>
      <c r="J14" s="82">
        <f t="shared" si="5"/>
        <v>250</v>
      </c>
      <c r="K14" s="82">
        <f t="shared" si="5"/>
        <v>250</v>
      </c>
      <c r="L14" s="82">
        <f t="shared" si="5"/>
        <v>250</v>
      </c>
      <c r="M14" s="82">
        <f t="shared" si="5"/>
        <v>0</v>
      </c>
      <c r="N14" s="82">
        <f t="shared" si="5"/>
        <v>0</v>
      </c>
      <c r="O14" s="113">
        <f t="shared" si="5"/>
        <v>0</v>
      </c>
      <c r="P14" s="82">
        <f t="shared" si="5"/>
        <v>7500</v>
      </c>
      <c r="Q14" s="82">
        <f t="shared" si="5"/>
        <v>22500</v>
      </c>
      <c r="R14" s="113">
        <f t="shared" si="5"/>
        <v>32500</v>
      </c>
      <c r="S14" s="82">
        <f t="shared" si="5"/>
        <v>0</v>
      </c>
      <c r="T14" s="82">
        <f t="shared" si="5"/>
        <v>0</v>
      </c>
      <c r="U14" s="82">
        <f t="shared" si="5"/>
        <v>32500</v>
      </c>
      <c r="V14" s="82">
        <f t="shared" si="5"/>
        <v>50000</v>
      </c>
      <c r="W14" s="82">
        <f t="shared" si="5"/>
        <v>50000</v>
      </c>
      <c r="X14" s="82">
        <f t="shared" si="5"/>
        <v>0</v>
      </c>
      <c r="Y14" s="82">
        <f t="shared" si="5"/>
        <v>0</v>
      </c>
      <c r="Z14" s="82">
        <f t="shared" si="5"/>
        <v>0</v>
      </c>
      <c r="AA14" s="82">
        <f t="shared" si="5"/>
        <v>0</v>
      </c>
      <c r="AB14" s="82">
        <f t="shared" si="5"/>
        <v>25000</v>
      </c>
      <c r="AC14" s="82">
        <f t="shared" si="5"/>
        <v>37500</v>
      </c>
      <c r="AD14" s="82">
        <f t="shared" si="5"/>
        <v>50000</v>
      </c>
      <c r="AE14" s="82">
        <f t="shared" si="5"/>
        <v>0</v>
      </c>
      <c r="AF14" s="82">
        <f t="shared" si="5"/>
        <v>0</v>
      </c>
      <c r="AG14" s="82">
        <f t="shared" si="5"/>
        <v>37500</v>
      </c>
      <c r="AH14" s="82">
        <f t="shared" si="5"/>
        <v>50000</v>
      </c>
      <c r="AI14" s="82">
        <f t="shared" si="5"/>
        <v>50000</v>
      </c>
      <c r="AJ14" s="82">
        <f t="shared" si="5"/>
        <v>0</v>
      </c>
      <c r="AK14" s="82">
        <f t="shared" si="5"/>
        <v>0</v>
      </c>
      <c r="AL14" s="82">
        <f t="shared" si="5"/>
        <v>0</v>
      </c>
      <c r="AM14" s="114">
        <f t="shared" si="6"/>
        <v>447500</v>
      </c>
      <c r="AN14" s="21">
        <f t="shared" ref="AN14:AN15" si="9">SUM(C14:N14)</f>
        <v>2500</v>
      </c>
      <c r="AO14" s="21">
        <f t="shared" si="7"/>
        <v>195000</v>
      </c>
      <c r="AP14" s="21">
        <f t="shared" si="8"/>
        <v>250000</v>
      </c>
      <c r="AQ14" s="11">
        <f t="shared" ref="AQ14:AQ15" si="10">AN14+AO14+AP14-AM14</f>
        <v>0</v>
      </c>
      <c r="AS14" s="115">
        <f>AM14/AM16</f>
        <v>0.33333333333333331</v>
      </c>
      <c r="AT14" s="116">
        <f>AP14+(AP14*20%)</f>
        <v>300000</v>
      </c>
      <c r="AU14" s="116">
        <f t="shared" ref="AU14:AU15" si="11">AT14+(AT14*20%)</f>
        <v>360000</v>
      </c>
      <c r="AV14" s="116"/>
    </row>
    <row r="15" spans="1:48" s="3" customFormat="1" ht="24" customHeight="1" x14ac:dyDescent="0.4">
      <c r="A15" s="15" t="s">
        <v>10</v>
      </c>
      <c r="B15" s="15"/>
      <c r="C15" s="82">
        <f>C7*5</f>
        <v>250</v>
      </c>
      <c r="D15" s="82">
        <f t="shared" si="5"/>
        <v>250</v>
      </c>
      <c r="E15" s="82">
        <f t="shared" si="5"/>
        <v>250</v>
      </c>
      <c r="F15" s="82">
        <f t="shared" si="5"/>
        <v>250</v>
      </c>
      <c r="G15" s="82">
        <f t="shared" si="5"/>
        <v>250</v>
      </c>
      <c r="H15" s="82">
        <f t="shared" si="5"/>
        <v>250</v>
      </c>
      <c r="I15" s="82">
        <f t="shared" si="5"/>
        <v>250</v>
      </c>
      <c r="J15" s="82">
        <f t="shared" si="5"/>
        <v>250</v>
      </c>
      <c r="K15" s="82">
        <f t="shared" si="5"/>
        <v>250</v>
      </c>
      <c r="L15" s="82">
        <f t="shared" si="5"/>
        <v>250</v>
      </c>
      <c r="M15" s="82">
        <f t="shared" si="5"/>
        <v>0</v>
      </c>
      <c r="N15" s="82">
        <f t="shared" si="5"/>
        <v>0</v>
      </c>
      <c r="O15" s="113">
        <f t="shared" si="5"/>
        <v>0</v>
      </c>
      <c r="P15" s="82">
        <f t="shared" si="5"/>
        <v>7500</v>
      </c>
      <c r="Q15" s="82">
        <f t="shared" si="5"/>
        <v>22500</v>
      </c>
      <c r="R15" s="113">
        <f t="shared" si="5"/>
        <v>32500</v>
      </c>
      <c r="S15" s="82">
        <f t="shared" si="5"/>
        <v>0</v>
      </c>
      <c r="T15" s="82">
        <f t="shared" si="5"/>
        <v>0</v>
      </c>
      <c r="U15" s="82">
        <f t="shared" si="5"/>
        <v>32500</v>
      </c>
      <c r="V15" s="82">
        <f t="shared" si="5"/>
        <v>50000</v>
      </c>
      <c r="W15" s="82">
        <f t="shared" si="5"/>
        <v>50000</v>
      </c>
      <c r="X15" s="82">
        <f t="shared" si="5"/>
        <v>0</v>
      </c>
      <c r="Y15" s="82">
        <f t="shared" si="5"/>
        <v>0</v>
      </c>
      <c r="Z15" s="82">
        <f t="shared" si="5"/>
        <v>0</v>
      </c>
      <c r="AA15" s="82">
        <f t="shared" si="5"/>
        <v>0</v>
      </c>
      <c r="AB15" s="82">
        <f t="shared" si="5"/>
        <v>25000</v>
      </c>
      <c r="AC15" s="82">
        <f t="shared" si="5"/>
        <v>37500</v>
      </c>
      <c r="AD15" s="82">
        <f t="shared" si="5"/>
        <v>50000</v>
      </c>
      <c r="AE15" s="82">
        <f t="shared" si="5"/>
        <v>0</v>
      </c>
      <c r="AF15" s="82">
        <f t="shared" si="5"/>
        <v>0</v>
      </c>
      <c r="AG15" s="82">
        <f t="shared" si="5"/>
        <v>37500</v>
      </c>
      <c r="AH15" s="82">
        <f t="shared" si="5"/>
        <v>50000</v>
      </c>
      <c r="AI15" s="82">
        <f t="shared" si="5"/>
        <v>50000</v>
      </c>
      <c r="AJ15" s="82">
        <f t="shared" si="5"/>
        <v>0</v>
      </c>
      <c r="AK15" s="82">
        <f t="shared" si="5"/>
        <v>0</v>
      </c>
      <c r="AL15" s="82">
        <f t="shared" si="5"/>
        <v>0</v>
      </c>
      <c r="AM15" s="114">
        <f t="shared" si="6"/>
        <v>447500</v>
      </c>
      <c r="AN15" s="21">
        <f t="shared" si="9"/>
        <v>2500</v>
      </c>
      <c r="AO15" s="21">
        <f t="shared" si="7"/>
        <v>195000</v>
      </c>
      <c r="AP15" s="21">
        <f t="shared" si="8"/>
        <v>250000</v>
      </c>
      <c r="AQ15" s="11">
        <f t="shared" si="10"/>
        <v>0</v>
      </c>
      <c r="AS15" s="115">
        <f>AM15/AM16</f>
        <v>0.33333333333333331</v>
      </c>
      <c r="AT15" s="116">
        <f t="shared" ref="AT15" si="12">AP15+(AP15*20%)</f>
        <v>300000</v>
      </c>
      <c r="AU15" s="116">
        <f t="shared" si="11"/>
        <v>360000</v>
      </c>
      <c r="AV15" s="116"/>
    </row>
    <row r="16" spans="1:48" s="3" customFormat="1" ht="24" customHeight="1" x14ac:dyDescent="0.4">
      <c r="A16" s="117" t="s">
        <v>128</v>
      </c>
      <c r="B16" s="117"/>
      <c r="C16" s="83">
        <f>SUM(C13:C15)</f>
        <v>750</v>
      </c>
      <c r="D16" s="83">
        <f t="shared" ref="D16:O16" si="13">SUM(D13:D15)</f>
        <v>750</v>
      </c>
      <c r="E16" s="83">
        <f t="shared" si="13"/>
        <v>750</v>
      </c>
      <c r="F16" s="83">
        <f t="shared" si="13"/>
        <v>750</v>
      </c>
      <c r="G16" s="83">
        <f t="shared" si="13"/>
        <v>750</v>
      </c>
      <c r="H16" s="83">
        <f t="shared" si="13"/>
        <v>750</v>
      </c>
      <c r="I16" s="83">
        <f t="shared" si="13"/>
        <v>750</v>
      </c>
      <c r="J16" s="83">
        <f t="shared" si="13"/>
        <v>750</v>
      </c>
      <c r="K16" s="83">
        <f t="shared" si="13"/>
        <v>750</v>
      </c>
      <c r="L16" s="83">
        <f t="shared" si="13"/>
        <v>750</v>
      </c>
      <c r="M16" s="83">
        <f t="shared" si="13"/>
        <v>0</v>
      </c>
      <c r="N16" s="83">
        <f t="shared" si="13"/>
        <v>0</v>
      </c>
      <c r="O16" s="83">
        <f t="shared" si="13"/>
        <v>0</v>
      </c>
      <c r="P16" s="83">
        <f>SUM(P13:P15)</f>
        <v>22500</v>
      </c>
      <c r="Q16" s="83">
        <f t="shared" ref="Q16:AL16" si="14">SUM(Q13:Q15)</f>
        <v>67500</v>
      </c>
      <c r="R16" s="83">
        <f t="shared" si="14"/>
        <v>97500</v>
      </c>
      <c r="S16" s="83">
        <f t="shared" si="14"/>
        <v>0</v>
      </c>
      <c r="T16" s="83">
        <f t="shared" si="14"/>
        <v>0</v>
      </c>
      <c r="U16" s="83">
        <f t="shared" si="14"/>
        <v>97500</v>
      </c>
      <c r="V16" s="83">
        <f t="shared" si="14"/>
        <v>150000</v>
      </c>
      <c r="W16" s="83">
        <f t="shared" si="14"/>
        <v>150000</v>
      </c>
      <c r="X16" s="83">
        <f t="shared" si="14"/>
        <v>0</v>
      </c>
      <c r="Y16" s="83">
        <f t="shared" si="14"/>
        <v>0</v>
      </c>
      <c r="Z16" s="83">
        <f t="shared" si="14"/>
        <v>0</v>
      </c>
      <c r="AA16" s="83">
        <f t="shared" si="14"/>
        <v>0</v>
      </c>
      <c r="AB16" s="83">
        <f t="shared" si="14"/>
        <v>75000</v>
      </c>
      <c r="AC16" s="83">
        <f t="shared" si="14"/>
        <v>112500</v>
      </c>
      <c r="AD16" s="83">
        <f t="shared" si="14"/>
        <v>150000</v>
      </c>
      <c r="AE16" s="83">
        <f t="shared" si="14"/>
        <v>0</v>
      </c>
      <c r="AF16" s="83">
        <f t="shared" si="14"/>
        <v>0</v>
      </c>
      <c r="AG16" s="83">
        <f t="shared" si="14"/>
        <v>112500</v>
      </c>
      <c r="AH16" s="83">
        <f t="shared" si="14"/>
        <v>150000</v>
      </c>
      <c r="AI16" s="83">
        <f t="shared" si="14"/>
        <v>150000</v>
      </c>
      <c r="AJ16" s="83">
        <f t="shared" si="14"/>
        <v>0</v>
      </c>
      <c r="AK16" s="83">
        <f t="shared" si="14"/>
        <v>0</v>
      </c>
      <c r="AL16" s="83">
        <f t="shared" si="14"/>
        <v>0</v>
      </c>
      <c r="AM16" s="118">
        <f>SUM(AM13:AM15)</f>
        <v>1342500</v>
      </c>
      <c r="AN16" s="119">
        <f>(AM5*B5)+(AM6*B6)+(AM7*B7)-AM17</f>
        <v>0</v>
      </c>
      <c r="AO16" s="11">
        <f>AO21-AN21</f>
        <v>605726</v>
      </c>
      <c r="AP16" s="11">
        <f>AP21-AO21</f>
        <v>249000</v>
      </c>
      <c r="AS16" s="120">
        <f>SUM(AS13:AS15)</f>
        <v>1</v>
      </c>
      <c r="AT16" s="116"/>
      <c r="AU16" s="116"/>
      <c r="AV16" s="116"/>
    </row>
    <row r="17" spans="1:47" s="3" customFormat="1" ht="24" customHeight="1" x14ac:dyDescent="0.4">
      <c r="A17" s="16" t="s">
        <v>129</v>
      </c>
      <c r="B17" s="16"/>
      <c r="C17" s="84">
        <f>C16</f>
        <v>750</v>
      </c>
      <c r="D17" s="84">
        <f t="shared" ref="D17:AL17" si="15">D16</f>
        <v>750</v>
      </c>
      <c r="E17" s="84">
        <f t="shared" si="15"/>
        <v>750</v>
      </c>
      <c r="F17" s="84">
        <f t="shared" si="15"/>
        <v>750</v>
      </c>
      <c r="G17" s="84">
        <f t="shared" si="15"/>
        <v>750</v>
      </c>
      <c r="H17" s="84">
        <f t="shared" si="15"/>
        <v>750</v>
      </c>
      <c r="I17" s="84">
        <f t="shared" si="15"/>
        <v>750</v>
      </c>
      <c r="J17" s="84">
        <f t="shared" si="15"/>
        <v>750</v>
      </c>
      <c r="K17" s="84">
        <f t="shared" si="15"/>
        <v>750</v>
      </c>
      <c r="L17" s="84">
        <f t="shared" si="15"/>
        <v>750</v>
      </c>
      <c r="M17" s="84">
        <f t="shared" si="15"/>
        <v>0</v>
      </c>
      <c r="N17" s="84">
        <f t="shared" si="15"/>
        <v>0</v>
      </c>
      <c r="O17" s="104">
        <f t="shared" si="15"/>
        <v>0</v>
      </c>
      <c r="P17" s="84">
        <f t="shared" si="15"/>
        <v>22500</v>
      </c>
      <c r="Q17" s="84">
        <f t="shared" si="15"/>
        <v>67500</v>
      </c>
      <c r="R17" s="104">
        <f t="shared" si="15"/>
        <v>97500</v>
      </c>
      <c r="S17" s="84">
        <f t="shared" si="15"/>
        <v>0</v>
      </c>
      <c r="T17" s="84">
        <f t="shared" si="15"/>
        <v>0</v>
      </c>
      <c r="U17" s="84">
        <f t="shared" si="15"/>
        <v>97500</v>
      </c>
      <c r="V17" s="84">
        <f t="shared" si="15"/>
        <v>150000</v>
      </c>
      <c r="W17" s="84">
        <f t="shared" si="15"/>
        <v>150000</v>
      </c>
      <c r="X17" s="84">
        <f t="shared" si="15"/>
        <v>0</v>
      </c>
      <c r="Y17" s="84">
        <f t="shared" si="15"/>
        <v>0</v>
      </c>
      <c r="Z17" s="84">
        <f t="shared" si="15"/>
        <v>0</v>
      </c>
      <c r="AA17" s="84">
        <f t="shared" si="15"/>
        <v>0</v>
      </c>
      <c r="AB17" s="84">
        <f t="shared" si="15"/>
        <v>75000</v>
      </c>
      <c r="AC17" s="84">
        <f t="shared" si="15"/>
        <v>112500</v>
      </c>
      <c r="AD17" s="84">
        <f t="shared" si="15"/>
        <v>150000</v>
      </c>
      <c r="AE17" s="84">
        <f t="shared" si="15"/>
        <v>0</v>
      </c>
      <c r="AF17" s="84">
        <f t="shared" si="15"/>
        <v>0</v>
      </c>
      <c r="AG17" s="84">
        <f t="shared" si="15"/>
        <v>112500</v>
      </c>
      <c r="AH17" s="84">
        <f t="shared" si="15"/>
        <v>150000</v>
      </c>
      <c r="AI17" s="84">
        <f t="shared" si="15"/>
        <v>150000</v>
      </c>
      <c r="AJ17" s="84">
        <f t="shared" si="15"/>
        <v>0</v>
      </c>
      <c r="AK17" s="84">
        <f t="shared" si="15"/>
        <v>0</v>
      </c>
      <c r="AL17" s="84">
        <f t="shared" si="15"/>
        <v>0</v>
      </c>
      <c r="AM17" s="121">
        <f>SUM(C17:AL17)</f>
        <v>1342500</v>
      </c>
      <c r="AN17" s="21">
        <f>SUM(C17:N17)</f>
        <v>7500</v>
      </c>
      <c r="AO17" s="21">
        <f>SUM(O17:Z17)</f>
        <v>585000</v>
      </c>
      <c r="AP17" s="21">
        <f>SUM(AA17:AL17)</f>
        <v>750000</v>
      </c>
    </row>
    <row r="18" spans="1:47" s="125" customFormat="1" ht="24" customHeight="1" x14ac:dyDescent="0.4">
      <c r="A18" s="122" t="s">
        <v>11</v>
      </c>
      <c r="B18" s="122"/>
      <c r="C18" s="85">
        <v>1050</v>
      </c>
      <c r="D18" s="85">
        <v>12500</v>
      </c>
      <c r="E18" s="85">
        <v>34004</v>
      </c>
      <c r="F18" s="85">
        <v>1000</v>
      </c>
      <c r="G18" s="85">
        <v>0</v>
      </c>
      <c r="H18" s="85">
        <v>0</v>
      </c>
      <c r="I18" s="85">
        <v>490</v>
      </c>
      <c r="J18" s="85">
        <v>1730</v>
      </c>
      <c r="K18" s="85">
        <v>68000</v>
      </c>
      <c r="L18" s="85">
        <v>16000</v>
      </c>
      <c r="M18" s="85">
        <v>0</v>
      </c>
      <c r="N18" s="85">
        <v>0</v>
      </c>
      <c r="O18" s="123">
        <v>0</v>
      </c>
      <c r="P18" s="85">
        <v>60000</v>
      </c>
      <c r="Q18" s="85">
        <v>12000</v>
      </c>
      <c r="R18" s="123">
        <v>0</v>
      </c>
      <c r="S18" s="85">
        <v>0</v>
      </c>
      <c r="T18" s="85">
        <v>0</v>
      </c>
      <c r="U18" s="85">
        <v>60000</v>
      </c>
      <c r="V18" s="85">
        <v>24000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60000</v>
      </c>
      <c r="AC18" s="85">
        <v>24000</v>
      </c>
      <c r="AD18" s="85">
        <v>24000</v>
      </c>
      <c r="AE18" s="85">
        <v>24000</v>
      </c>
      <c r="AF18" s="85">
        <v>0</v>
      </c>
      <c r="AG18" s="85">
        <v>60000</v>
      </c>
      <c r="AH18" s="85">
        <v>24000</v>
      </c>
      <c r="AI18" s="85">
        <v>24000</v>
      </c>
      <c r="AJ18" s="85">
        <v>0</v>
      </c>
      <c r="AK18" s="85">
        <v>0</v>
      </c>
      <c r="AL18" s="85">
        <v>0</v>
      </c>
      <c r="AM18" s="124">
        <f>SUM(C18:AL18)</f>
        <v>530774</v>
      </c>
      <c r="AN18" s="21">
        <f>SUM(C18:N18)</f>
        <v>134774</v>
      </c>
      <c r="AO18" s="21">
        <f>SUM(O18:Z18)</f>
        <v>156000</v>
      </c>
      <c r="AP18" s="21">
        <f>SUM(AA18:AL18)</f>
        <v>240000</v>
      </c>
    </row>
    <row r="19" spans="1:47" s="3" customFormat="1" ht="24" customHeight="1" x14ac:dyDescent="0.4">
      <c r="A19" s="16" t="s">
        <v>12</v>
      </c>
      <c r="B19" s="16"/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104">
        <v>0</v>
      </c>
      <c r="P19" s="84">
        <v>7000</v>
      </c>
      <c r="Q19" s="84">
        <v>0</v>
      </c>
      <c r="R19" s="104">
        <v>0</v>
      </c>
      <c r="S19" s="84">
        <v>0</v>
      </c>
      <c r="T19" s="84">
        <v>0</v>
      </c>
      <c r="U19" s="84">
        <v>0</v>
      </c>
      <c r="V19" s="84">
        <v>0</v>
      </c>
      <c r="W19" s="84">
        <v>0</v>
      </c>
      <c r="X19" s="84">
        <v>0</v>
      </c>
      <c r="Y19" s="84">
        <v>0</v>
      </c>
      <c r="Z19" s="84">
        <v>0</v>
      </c>
      <c r="AA19" s="84">
        <v>0</v>
      </c>
      <c r="AB19" s="84">
        <v>7000</v>
      </c>
      <c r="AC19" s="84">
        <v>0</v>
      </c>
      <c r="AD19" s="84">
        <v>0</v>
      </c>
      <c r="AE19" s="84">
        <v>0</v>
      </c>
      <c r="AF19" s="84">
        <v>0</v>
      </c>
      <c r="AG19" s="84">
        <v>0</v>
      </c>
      <c r="AH19" s="84">
        <v>0</v>
      </c>
      <c r="AI19" s="84">
        <v>0</v>
      </c>
      <c r="AJ19" s="84">
        <v>0</v>
      </c>
      <c r="AK19" s="84">
        <v>0</v>
      </c>
      <c r="AL19" s="84">
        <v>0</v>
      </c>
      <c r="AM19" s="121">
        <f>SUM(C19:AL19)</f>
        <v>14000</v>
      </c>
      <c r="AN19" s="21">
        <f>SUM(C19:N19)</f>
        <v>0</v>
      </c>
      <c r="AO19" s="21">
        <f>SUM(O19:Z19)</f>
        <v>7000</v>
      </c>
      <c r="AP19" s="21">
        <f>SUM(AA19:AL19)</f>
        <v>7000</v>
      </c>
    </row>
    <row r="20" spans="1:47" s="3" customFormat="1" ht="24" customHeight="1" x14ac:dyDescent="0.4">
      <c r="A20" s="45" t="s">
        <v>13</v>
      </c>
      <c r="B20" s="45"/>
      <c r="C20" s="86">
        <f>SUM(C17:C19)</f>
        <v>1800</v>
      </c>
      <c r="D20" s="86">
        <f>SUM(D17:D19)</f>
        <v>13250</v>
      </c>
      <c r="E20" s="86">
        <f>SUM(E17:E19)</f>
        <v>34754</v>
      </c>
      <c r="F20" s="86">
        <f t="shared" ref="F20:AI20" si="16">SUM(F17:F19)</f>
        <v>1750</v>
      </c>
      <c r="G20" s="86">
        <f t="shared" si="16"/>
        <v>750</v>
      </c>
      <c r="H20" s="86">
        <f t="shared" si="16"/>
        <v>750</v>
      </c>
      <c r="I20" s="86">
        <f t="shared" si="16"/>
        <v>1240</v>
      </c>
      <c r="J20" s="86">
        <f t="shared" si="16"/>
        <v>2480</v>
      </c>
      <c r="K20" s="86">
        <f t="shared" si="16"/>
        <v>68750</v>
      </c>
      <c r="L20" s="86">
        <f t="shared" si="16"/>
        <v>16750</v>
      </c>
      <c r="M20" s="86">
        <f t="shared" si="16"/>
        <v>0</v>
      </c>
      <c r="N20" s="86">
        <f t="shared" si="16"/>
        <v>0</v>
      </c>
      <c r="O20" s="126">
        <f t="shared" si="16"/>
        <v>0</v>
      </c>
      <c r="P20" s="86">
        <f t="shared" si="16"/>
        <v>89500</v>
      </c>
      <c r="Q20" s="86">
        <f t="shared" si="16"/>
        <v>79500</v>
      </c>
      <c r="R20" s="126">
        <f t="shared" si="16"/>
        <v>97500</v>
      </c>
      <c r="S20" s="86">
        <f t="shared" si="16"/>
        <v>0</v>
      </c>
      <c r="T20" s="86">
        <f t="shared" si="16"/>
        <v>0</v>
      </c>
      <c r="U20" s="86">
        <f t="shared" si="16"/>
        <v>157500</v>
      </c>
      <c r="V20" s="86">
        <f t="shared" si="16"/>
        <v>174000</v>
      </c>
      <c r="W20" s="86">
        <f t="shared" si="16"/>
        <v>150000</v>
      </c>
      <c r="X20" s="86">
        <f t="shared" si="16"/>
        <v>0</v>
      </c>
      <c r="Y20" s="86">
        <f t="shared" si="16"/>
        <v>0</v>
      </c>
      <c r="Z20" s="86">
        <f t="shared" si="16"/>
        <v>0</v>
      </c>
      <c r="AA20" s="86">
        <f t="shared" si="16"/>
        <v>0</v>
      </c>
      <c r="AB20" s="86">
        <f t="shared" si="16"/>
        <v>142000</v>
      </c>
      <c r="AC20" s="86">
        <f t="shared" si="16"/>
        <v>136500</v>
      </c>
      <c r="AD20" s="86">
        <f t="shared" si="16"/>
        <v>174000</v>
      </c>
      <c r="AE20" s="86">
        <f t="shared" si="16"/>
        <v>24000</v>
      </c>
      <c r="AF20" s="86">
        <f t="shared" si="16"/>
        <v>0</v>
      </c>
      <c r="AG20" s="86">
        <f t="shared" si="16"/>
        <v>172500</v>
      </c>
      <c r="AH20" s="86">
        <f>SUM(AH17:AH19)</f>
        <v>174000</v>
      </c>
      <c r="AI20" s="86">
        <f t="shared" si="16"/>
        <v>174000</v>
      </c>
      <c r="AJ20" s="86">
        <f>SUM(AJ17:AJ19)</f>
        <v>0</v>
      </c>
      <c r="AK20" s="86">
        <f>SUM(AK17:AK19)</f>
        <v>0</v>
      </c>
      <c r="AL20" s="86">
        <f>SUM(AL17:AL19)</f>
        <v>0</v>
      </c>
      <c r="AM20" s="127">
        <f>SUM(C20:AL20)</f>
        <v>1887274</v>
      </c>
      <c r="AN20" s="19" t="s">
        <v>14</v>
      </c>
      <c r="AO20" s="19" t="s">
        <v>15</v>
      </c>
      <c r="AP20" s="19" t="s">
        <v>16</v>
      </c>
      <c r="AQ20" s="11">
        <f>(AN21+AO21+AP21)-AM20</f>
        <v>0</v>
      </c>
    </row>
    <row r="21" spans="1:47" s="3" customFormat="1" ht="24" customHeight="1" x14ac:dyDescent="0.4">
      <c r="A21" s="128"/>
      <c r="B21" s="12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104"/>
      <c r="P21" s="78"/>
      <c r="Q21" s="78"/>
      <c r="R21" s="104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129"/>
      <c r="AN21" s="21">
        <f>SUM(C20:N20)</f>
        <v>142274</v>
      </c>
      <c r="AO21" s="21">
        <f>SUM(O20:Z20)</f>
        <v>748000</v>
      </c>
      <c r="AP21" s="21">
        <f>SUM(AA20:AL20)</f>
        <v>997000</v>
      </c>
    </row>
    <row r="22" spans="1:47" s="3" customFormat="1" ht="24" customHeight="1" x14ac:dyDescent="0.4">
      <c r="A22" s="128" t="s">
        <v>17</v>
      </c>
      <c r="B22" s="12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104"/>
      <c r="P22" s="78"/>
      <c r="Q22" s="78"/>
      <c r="R22" s="104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129"/>
      <c r="AN22" s="48"/>
      <c r="AO22" s="11">
        <f>AO21-AN21</f>
        <v>605726</v>
      </c>
      <c r="AP22" s="11">
        <f>AP21-AO21</f>
        <v>249000</v>
      </c>
    </row>
    <row r="23" spans="1:47" s="3" customFormat="1" ht="24" customHeight="1" x14ac:dyDescent="0.4">
      <c r="A23" s="16" t="s">
        <v>130</v>
      </c>
      <c r="B23" s="16"/>
      <c r="C23" s="78">
        <v>1500</v>
      </c>
      <c r="D23" s="78">
        <v>1500</v>
      </c>
      <c r="E23" s="78">
        <v>1500</v>
      </c>
      <c r="F23" s="78">
        <v>1500</v>
      </c>
      <c r="G23" s="78">
        <v>1500</v>
      </c>
      <c r="H23" s="78">
        <v>5000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104">
        <v>5000</v>
      </c>
      <c r="P23" s="78">
        <v>0</v>
      </c>
      <c r="Q23" s="78">
        <v>0</v>
      </c>
      <c r="R23" s="104">
        <v>0</v>
      </c>
      <c r="S23" s="78">
        <v>0</v>
      </c>
      <c r="T23" s="78">
        <v>5000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78">
        <v>0</v>
      </c>
      <c r="AA23" s="78">
        <v>5000</v>
      </c>
      <c r="AB23" s="78">
        <v>0</v>
      </c>
      <c r="AC23" s="78">
        <v>0</v>
      </c>
      <c r="AD23" s="78">
        <v>0</v>
      </c>
      <c r="AE23" s="78">
        <v>0</v>
      </c>
      <c r="AF23" s="78">
        <v>5000</v>
      </c>
      <c r="AG23" s="78">
        <v>0</v>
      </c>
      <c r="AH23" s="78">
        <v>0</v>
      </c>
      <c r="AI23" s="78">
        <v>0</v>
      </c>
      <c r="AJ23" s="78">
        <v>0</v>
      </c>
      <c r="AK23" s="78">
        <v>0</v>
      </c>
      <c r="AL23" s="78">
        <v>0</v>
      </c>
      <c r="AM23" s="130">
        <f>SUM(C23:AL23)</f>
        <v>32500</v>
      </c>
      <c r="AN23" s="48"/>
      <c r="AO23" s="75">
        <f>AO22/AN21</f>
        <v>4.2574609556208447</v>
      </c>
      <c r="AP23" s="75">
        <f>AP22/AO21</f>
        <v>0.33288770053475936</v>
      </c>
      <c r="AS23" s="44" t="s">
        <v>18</v>
      </c>
      <c r="AT23" s="44" t="s">
        <v>18</v>
      </c>
      <c r="AU23" s="44" t="s">
        <v>18</v>
      </c>
    </row>
    <row r="24" spans="1:47" s="3" customFormat="1" ht="24" customHeight="1" x14ac:dyDescent="0.4">
      <c r="A24" s="16" t="s">
        <v>19</v>
      </c>
      <c r="B24" s="16"/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0</v>
      </c>
      <c r="J24" s="84">
        <v>0</v>
      </c>
      <c r="K24" s="84">
        <v>0</v>
      </c>
      <c r="L24" s="84">
        <v>0</v>
      </c>
      <c r="M24" s="84">
        <f>(M21/3)*33%</f>
        <v>0</v>
      </c>
      <c r="N24" s="84">
        <v>0</v>
      </c>
      <c r="O24" s="104">
        <v>0</v>
      </c>
      <c r="P24" s="84">
        <f t="shared" ref="P24:AL24" si="17">(P21/3)*33%</f>
        <v>0</v>
      </c>
      <c r="Q24" s="84">
        <f t="shared" si="17"/>
        <v>0</v>
      </c>
      <c r="R24" s="104">
        <f t="shared" si="17"/>
        <v>0</v>
      </c>
      <c r="S24" s="84">
        <f t="shared" si="17"/>
        <v>0</v>
      </c>
      <c r="T24" s="84">
        <f t="shared" si="17"/>
        <v>0</v>
      </c>
      <c r="U24" s="84">
        <f t="shared" si="17"/>
        <v>0</v>
      </c>
      <c r="V24" s="84">
        <f t="shared" si="17"/>
        <v>0</v>
      </c>
      <c r="W24" s="84">
        <f t="shared" si="17"/>
        <v>0</v>
      </c>
      <c r="X24" s="84">
        <f t="shared" si="17"/>
        <v>0</v>
      </c>
      <c r="Y24" s="84">
        <f t="shared" si="17"/>
        <v>0</v>
      </c>
      <c r="Z24" s="84">
        <f t="shared" si="17"/>
        <v>0</v>
      </c>
      <c r="AA24" s="84">
        <f t="shared" si="17"/>
        <v>0</v>
      </c>
      <c r="AB24" s="84">
        <f t="shared" si="17"/>
        <v>0</v>
      </c>
      <c r="AC24" s="84">
        <f t="shared" si="17"/>
        <v>0</v>
      </c>
      <c r="AD24" s="84">
        <f t="shared" si="17"/>
        <v>0</v>
      </c>
      <c r="AE24" s="84">
        <f t="shared" si="17"/>
        <v>0</v>
      </c>
      <c r="AF24" s="84">
        <f t="shared" si="17"/>
        <v>0</v>
      </c>
      <c r="AG24" s="84">
        <f t="shared" si="17"/>
        <v>0</v>
      </c>
      <c r="AH24" s="84">
        <f t="shared" si="17"/>
        <v>0</v>
      </c>
      <c r="AI24" s="84">
        <f t="shared" si="17"/>
        <v>0</v>
      </c>
      <c r="AJ24" s="84">
        <f t="shared" si="17"/>
        <v>0</v>
      </c>
      <c r="AK24" s="84">
        <f t="shared" si="17"/>
        <v>0</v>
      </c>
      <c r="AL24" s="84">
        <f t="shared" si="17"/>
        <v>0</v>
      </c>
      <c r="AM24" s="130">
        <f>SUM(C24:AL24)</f>
        <v>0</v>
      </c>
      <c r="AN24" s="19" t="s">
        <v>14</v>
      </c>
      <c r="AO24" s="19" t="s">
        <v>15</v>
      </c>
      <c r="AP24" s="19" t="s">
        <v>16</v>
      </c>
      <c r="AQ24" s="11">
        <f>(AN25+AO25+AP25)-AM24-AM23</f>
        <v>0</v>
      </c>
      <c r="AS24" s="3" t="s">
        <v>14</v>
      </c>
      <c r="AT24" s="11" t="s">
        <v>15</v>
      </c>
      <c r="AU24" s="3" t="s">
        <v>16</v>
      </c>
    </row>
    <row r="25" spans="1:47" s="3" customFormat="1" ht="24" customHeight="1" x14ac:dyDescent="0.35"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131"/>
      <c r="P25" s="87"/>
      <c r="Q25" s="87"/>
      <c r="R25" s="131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M25" s="129">
        <f>AM23+AM24</f>
        <v>32500</v>
      </c>
      <c r="AN25" s="17">
        <f>SUM(C23:N23)+SUM(C24:N24)</f>
        <v>12500</v>
      </c>
      <c r="AO25" s="17">
        <f>SUM(O23:Z23)+SUM(O24:Z24)</f>
        <v>10000</v>
      </c>
      <c r="AP25" s="18">
        <f>SUM(AA23:AL23)+SUM(AA24:AL24)</f>
        <v>10000</v>
      </c>
      <c r="AQ25" s="132">
        <f>(AM23+AM24)/409847</f>
        <v>7.9297884332446014E-2</v>
      </c>
      <c r="AS25" s="11">
        <f>AN21-AN25</f>
        <v>129774</v>
      </c>
      <c r="AT25" s="11">
        <f>AO21-AO25</f>
        <v>738000</v>
      </c>
      <c r="AU25" s="11">
        <f>AP21-AP25</f>
        <v>987000</v>
      </c>
    </row>
    <row r="26" spans="1:47" s="3" customFormat="1" ht="24" customHeight="1" thickBot="1" x14ac:dyDescent="0.45">
      <c r="A26" s="61" t="s">
        <v>20</v>
      </c>
      <c r="B26" s="61"/>
      <c r="C26" s="88">
        <f>(0+(C20))-((C24)+(C23))</f>
        <v>300</v>
      </c>
      <c r="D26" s="88">
        <f t="shared" ref="D26:AL26" si="18">(0+(D20))-((D24)+(D23))</f>
        <v>11750</v>
      </c>
      <c r="E26" s="88">
        <f>(0+(E20))-((E24)+(E23))</f>
        <v>33254</v>
      </c>
      <c r="F26" s="88">
        <f t="shared" si="18"/>
        <v>250</v>
      </c>
      <c r="G26" s="88">
        <f t="shared" si="18"/>
        <v>-750</v>
      </c>
      <c r="H26" s="88">
        <f t="shared" si="18"/>
        <v>-4250</v>
      </c>
      <c r="I26" s="88">
        <f t="shared" si="18"/>
        <v>1240</v>
      </c>
      <c r="J26" s="88">
        <f t="shared" si="18"/>
        <v>2480</v>
      </c>
      <c r="K26" s="88">
        <f t="shared" si="18"/>
        <v>68750</v>
      </c>
      <c r="L26" s="88">
        <f t="shared" si="18"/>
        <v>16750</v>
      </c>
      <c r="M26" s="88">
        <f t="shared" si="18"/>
        <v>0</v>
      </c>
      <c r="N26" s="88">
        <f t="shared" si="18"/>
        <v>0</v>
      </c>
      <c r="O26" s="133">
        <f t="shared" si="18"/>
        <v>-5000</v>
      </c>
      <c r="P26" s="88">
        <f t="shared" si="18"/>
        <v>89500</v>
      </c>
      <c r="Q26" s="88">
        <f t="shared" si="18"/>
        <v>79500</v>
      </c>
      <c r="R26" s="133">
        <f t="shared" si="18"/>
        <v>97500</v>
      </c>
      <c r="S26" s="88">
        <f t="shared" si="18"/>
        <v>0</v>
      </c>
      <c r="T26" s="88">
        <f t="shared" si="18"/>
        <v>-5000</v>
      </c>
      <c r="U26" s="88">
        <f t="shared" si="18"/>
        <v>157500</v>
      </c>
      <c r="V26" s="88">
        <f t="shared" si="18"/>
        <v>174000</v>
      </c>
      <c r="W26" s="88">
        <f t="shared" si="18"/>
        <v>150000</v>
      </c>
      <c r="X26" s="88">
        <f t="shared" si="18"/>
        <v>0</v>
      </c>
      <c r="Y26" s="88">
        <f t="shared" si="18"/>
        <v>0</v>
      </c>
      <c r="Z26" s="88">
        <f t="shared" si="18"/>
        <v>0</v>
      </c>
      <c r="AA26" s="88">
        <f t="shared" si="18"/>
        <v>-5000</v>
      </c>
      <c r="AB26" s="88">
        <f t="shared" si="18"/>
        <v>142000</v>
      </c>
      <c r="AC26" s="88">
        <f t="shared" si="18"/>
        <v>136500</v>
      </c>
      <c r="AD26" s="88">
        <f t="shared" si="18"/>
        <v>174000</v>
      </c>
      <c r="AE26" s="88">
        <f t="shared" si="18"/>
        <v>24000</v>
      </c>
      <c r="AF26" s="88">
        <f t="shared" si="18"/>
        <v>-5000</v>
      </c>
      <c r="AG26" s="88">
        <f t="shared" si="18"/>
        <v>172500</v>
      </c>
      <c r="AH26" s="88">
        <f t="shared" si="18"/>
        <v>174000</v>
      </c>
      <c r="AI26" s="88">
        <f t="shared" si="18"/>
        <v>174000</v>
      </c>
      <c r="AJ26" s="88">
        <f t="shared" si="18"/>
        <v>0</v>
      </c>
      <c r="AK26" s="88">
        <f t="shared" si="18"/>
        <v>0</v>
      </c>
      <c r="AL26" s="88">
        <f t="shared" si="18"/>
        <v>0</v>
      </c>
      <c r="AM26" s="134">
        <f>(0+(AM20))-((AM24)+(AM23))</f>
        <v>1854774</v>
      </c>
      <c r="AN26" s="135"/>
      <c r="AO26" s="11">
        <f>AO25-AN25</f>
        <v>-2500</v>
      </c>
      <c r="AP26" s="11">
        <f>AP25-AO25</f>
        <v>0</v>
      </c>
    </row>
    <row r="27" spans="1:47" s="3" customFormat="1" ht="24" customHeight="1" thickTop="1" x14ac:dyDescent="0.35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131"/>
      <c r="P27" s="87"/>
      <c r="Q27" s="87"/>
      <c r="R27" s="131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129"/>
      <c r="AN27" s="52">
        <f>AM20-AM23-AM24-AM26</f>
        <v>0</v>
      </c>
      <c r="AO27" s="75">
        <f>AO26/AN25</f>
        <v>-0.2</v>
      </c>
      <c r="AP27" s="75">
        <f>AP26/AO25</f>
        <v>0</v>
      </c>
    </row>
    <row r="28" spans="1:47" s="3" customFormat="1" ht="24" customHeight="1" x14ac:dyDescent="0.35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31"/>
      <c r="P28" s="87"/>
      <c r="Q28" s="87"/>
      <c r="R28" s="131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129"/>
      <c r="AN28" s="19" t="s">
        <v>14</v>
      </c>
      <c r="AO28" s="19" t="s">
        <v>15</v>
      </c>
      <c r="AP28" s="20" t="s">
        <v>16</v>
      </c>
    </row>
    <row r="29" spans="1:47" s="3" customFormat="1" ht="24" customHeight="1" x14ac:dyDescent="0.35">
      <c r="A29" s="7" t="s">
        <v>21</v>
      </c>
      <c r="B29" s="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131"/>
      <c r="P29" s="87"/>
      <c r="Q29" s="87"/>
      <c r="R29" s="131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129"/>
    </row>
    <row r="30" spans="1:47" s="3" customFormat="1" ht="24" customHeight="1" x14ac:dyDescent="0.4">
      <c r="A30" s="16" t="s">
        <v>22</v>
      </c>
      <c r="B30" s="84"/>
      <c r="C30" s="84">
        <v>3500</v>
      </c>
      <c r="D30" s="84">
        <f>C30</f>
        <v>3500</v>
      </c>
      <c r="E30" s="84">
        <f t="shared" ref="E30:N30" si="19">D30</f>
        <v>3500</v>
      </c>
      <c r="F30" s="84">
        <f t="shared" si="19"/>
        <v>3500</v>
      </c>
      <c r="G30" s="84">
        <f t="shared" si="19"/>
        <v>3500</v>
      </c>
      <c r="H30" s="84">
        <f>G30</f>
        <v>3500</v>
      </c>
      <c r="I30" s="84">
        <f t="shared" si="19"/>
        <v>3500</v>
      </c>
      <c r="J30" s="84">
        <f t="shared" si="19"/>
        <v>3500</v>
      </c>
      <c r="K30" s="84">
        <f>J30</f>
        <v>3500</v>
      </c>
      <c r="L30" s="84">
        <v>3500</v>
      </c>
      <c r="M30" s="84">
        <v>3500</v>
      </c>
      <c r="N30" s="84">
        <f t="shared" si="19"/>
        <v>3500</v>
      </c>
      <c r="O30" s="104">
        <v>9000</v>
      </c>
      <c r="P30" s="84">
        <f>O30</f>
        <v>9000</v>
      </c>
      <c r="Q30" s="84">
        <f t="shared" ref="Q30:Z30" si="20">P30</f>
        <v>9000</v>
      </c>
      <c r="R30" s="104">
        <f t="shared" si="20"/>
        <v>9000</v>
      </c>
      <c r="S30" s="84">
        <f>R30</f>
        <v>9000</v>
      </c>
      <c r="T30" s="84">
        <f t="shared" si="20"/>
        <v>9000</v>
      </c>
      <c r="U30" s="84">
        <f t="shared" si="20"/>
        <v>9000</v>
      </c>
      <c r="V30" s="84">
        <f t="shared" si="20"/>
        <v>9000</v>
      </c>
      <c r="W30" s="84">
        <f t="shared" si="20"/>
        <v>9000</v>
      </c>
      <c r="X30" s="84">
        <f t="shared" si="20"/>
        <v>9000</v>
      </c>
      <c r="Y30" s="84">
        <f t="shared" si="20"/>
        <v>9000</v>
      </c>
      <c r="Z30" s="84">
        <f t="shared" si="20"/>
        <v>9000</v>
      </c>
      <c r="AA30" s="84">
        <v>12000</v>
      </c>
      <c r="AB30" s="84">
        <f>AA30</f>
        <v>12000</v>
      </c>
      <c r="AC30" s="84">
        <f t="shared" ref="AC30:AL30" si="21">AB30</f>
        <v>12000</v>
      </c>
      <c r="AD30" s="84">
        <f t="shared" si="21"/>
        <v>12000</v>
      </c>
      <c r="AE30" s="84">
        <f t="shared" si="21"/>
        <v>12000</v>
      </c>
      <c r="AF30" s="84">
        <f t="shared" si="21"/>
        <v>12000</v>
      </c>
      <c r="AG30" s="84">
        <f t="shared" si="21"/>
        <v>12000</v>
      </c>
      <c r="AH30" s="84">
        <f t="shared" si="21"/>
        <v>12000</v>
      </c>
      <c r="AI30" s="84">
        <f t="shared" si="21"/>
        <v>12000</v>
      </c>
      <c r="AJ30" s="84">
        <f t="shared" si="21"/>
        <v>12000</v>
      </c>
      <c r="AK30" s="84">
        <f t="shared" si="21"/>
        <v>12000</v>
      </c>
      <c r="AL30" s="84">
        <f t="shared" si="21"/>
        <v>12000</v>
      </c>
      <c r="AM30" s="130">
        <f>SUM(C30:AL30)</f>
        <v>294000</v>
      </c>
      <c r="AN30" s="21">
        <f>SUM(C26:N26)</f>
        <v>129774</v>
      </c>
      <c r="AO30" s="21">
        <f>SUM(O26:Z26)</f>
        <v>738000</v>
      </c>
      <c r="AP30" s="20">
        <f>SUM(AA26:AL26)</f>
        <v>987000</v>
      </c>
      <c r="AQ30" s="11">
        <f t="shared" ref="AQ30:AQ58" si="22">AN31+AO31+AP31-AM30</f>
        <v>0</v>
      </c>
      <c r="AT30" s="11">
        <f>SUM(C30:AB30)</f>
        <v>174000</v>
      </c>
    </row>
    <row r="31" spans="1:47" s="3" customFormat="1" ht="24" customHeight="1" x14ac:dyDescent="0.4">
      <c r="A31" s="16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136"/>
      <c r="P31" s="84"/>
      <c r="Q31" s="84"/>
      <c r="R31" s="104"/>
      <c r="S31" s="84"/>
      <c r="T31" s="84"/>
      <c r="U31" s="84"/>
      <c r="V31" s="84"/>
      <c r="W31" s="84"/>
      <c r="X31" s="84"/>
      <c r="Y31" s="84"/>
      <c r="Z31" s="84"/>
      <c r="AA31" s="137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130">
        <f>SUM(C31:AL31)</f>
        <v>0</v>
      </c>
      <c r="AN31" s="17">
        <f>SUM(C30:N30)</f>
        <v>42000</v>
      </c>
      <c r="AO31" s="17">
        <f>SUM(O30:Z30)</f>
        <v>108000</v>
      </c>
      <c r="AP31" s="22">
        <f>SUM(AA30:AL30)</f>
        <v>144000</v>
      </c>
      <c r="AQ31" s="11">
        <f t="shared" si="22"/>
        <v>0</v>
      </c>
      <c r="AT31" s="11">
        <f>SUM(C31:AB31)</f>
        <v>0</v>
      </c>
    </row>
    <row r="32" spans="1:47" s="3" customFormat="1" ht="24" customHeight="1" x14ac:dyDescent="0.4">
      <c r="A32" s="16" t="s">
        <v>23</v>
      </c>
      <c r="B32" s="16"/>
      <c r="C32" s="84">
        <v>450</v>
      </c>
      <c r="D32" s="84">
        <f>C32</f>
        <v>450</v>
      </c>
      <c r="E32" s="84">
        <f t="shared" ref="E32:N33" si="23">D32</f>
        <v>450</v>
      </c>
      <c r="F32" s="84">
        <f t="shared" si="23"/>
        <v>450</v>
      </c>
      <c r="G32" s="84">
        <f t="shared" si="23"/>
        <v>450</v>
      </c>
      <c r="H32" s="84">
        <f t="shared" si="23"/>
        <v>450</v>
      </c>
      <c r="I32" s="84">
        <f t="shared" si="23"/>
        <v>450</v>
      </c>
      <c r="J32" s="84">
        <f t="shared" si="23"/>
        <v>450</v>
      </c>
      <c r="K32" s="84">
        <f t="shared" si="23"/>
        <v>450</v>
      </c>
      <c r="L32" s="84">
        <f t="shared" si="23"/>
        <v>450</v>
      </c>
      <c r="M32" s="84">
        <f t="shared" si="23"/>
        <v>450</v>
      </c>
      <c r="N32" s="84">
        <f t="shared" si="23"/>
        <v>450</v>
      </c>
      <c r="O32" s="104">
        <v>750</v>
      </c>
      <c r="P32" s="84">
        <f t="shared" ref="P32:Z32" si="24">O32</f>
        <v>750</v>
      </c>
      <c r="Q32" s="84">
        <f t="shared" si="24"/>
        <v>750</v>
      </c>
      <c r="R32" s="104">
        <f t="shared" si="24"/>
        <v>750</v>
      </c>
      <c r="S32" s="84">
        <f t="shared" si="24"/>
        <v>750</v>
      </c>
      <c r="T32" s="84">
        <f t="shared" si="24"/>
        <v>750</v>
      </c>
      <c r="U32" s="84">
        <f t="shared" si="24"/>
        <v>750</v>
      </c>
      <c r="V32" s="84">
        <f t="shared" si="24"/>
        <v>750</v>
      </c>
      <c r="W32" s="84">
        <f t="shared" si="24"/>
        <v>750</v>
      </c>
      <c r="X32" s="84">
        <f t="shared" si="24"/>
        <v>750</v>
      </c>
      <c r="Y32" s="84">
        <f t="shared" si="24"/>
        <v>750</v>
      </c>
      <c r="Z32" s="84">
        <f t="shared" si="24"/>
        <v>750</v>
      </c>
      <c r="AA32" s="84">
        <v>1200</v>
      </c>
      <c r="AB32" s="84">
        <v>1200</v>
      </c>
      <c r="AC32" s="84">
        <v>1200</v>
      </c>
      <c r="AD32" s="84">
        <v>1200</v>
      </c>
      <c r="AE32" s="84">
        <v>1200</v>
      </c>
      <c r="AF32" s="84">
        <v>1200</v>
      </c>
      <c r="AG32" s="84">
        <v>1200</v>
      </c>
      <c r="AH32" s="84">
        <v>1200</v>
      </c>
      <c r="AI32" s="84">
        <v>1200</v>
      </c>
      <c r="AJ32" s="84">
        <v>1200</v>
      </c>
      <c r="AK32" s="84">
        <v>1200</v>
      </c>
      <c r="AL32" s="84">
        <v>1200</v>
      </c>
      <c r="AM32" s="130">
        <f>SUM(C32:AL32)</f>
        <v>28800</v>
      </c>
      <c r="AN32" s="17">
        <f>SUM(C31:N31)</f>
        <v>0</v>
      </c>
      <c r="AO32" s="17">
        <f>SUM(O31:Z31)</f>
        <v>0</v>
      </c>
      <c r="AP32" s="18">
        <f>SUM(AA31:AL31)</f>
        <v>0</v>
      </c>
      <c r="AQ32" s="11">
        <f t="shared" si="22"/>
        <v>0</v>
      </c>
    </row>
    <row r="33" spans="1:46" s="3" customFormat="1" ht="24" customHeight="1" x14ac:dyDescent="0.4">
      <c r="A33" s="16" t="s">
        <v>24</v>
      </c>
      <c r="B33" s="16"/>
      <c r="C33" s="84">
        <v>0</v>
      </c>
      <c r="D33" s="84">
        <v>0</v>
      </c>
      <c r="E33" s="84">
        <v>0</v>
      </c>
      <c r="F33" s="84">
        <v>0</v>
      </c>
      <c r="G33" s="84">
        <f>F33</f>
        <v>0</v>
      </c>
      <c r="H33" s="84">
        <f>G33</f>
        <v>0</v>
      </c>
      <c r="I33" s="84">
        <f t="shared" si="23"/>
        <v>0</v>
      </c>
      <c r="J33" s="84">
        <f t="shared" si="23"/>
        <v>0</v>
      </c>
      <c r="K33" s="84">
        <v>0</v>
      </c>
      <c r="L33" s="84">
        <v>0</v>
      </c>
      <c r="M33" s="84">
        <v>0</v>
      </c>
      <c r="N33" s="84">
        <v>0</v>
      </c>
      <c r="O33" s="104">
        <v>0</v>
      </c>
      <c r="P33" s="84">
        <v>50000</v>
      </c>
      <c r="Q33" s="84">
        <v>50000</v>
      </c>
      <c r="R33" s="104">
        <v>50000</v>
      </c>
      <c r="S33" s="84">
        <v>0</v>
      </c>
      <c r="T33" s="84">
        <v>0</v>
      </c>
      <c r="U33" s="84">
        <v>50000</v>
      </c>
      <c r="V33" s="84">
        <v>50000</v>
      </c>
      <c r="W33" s="84">
        <v>50000</v>
      </c>
      <c r="X33" s="84">
        <v>0</v>
      </c>
      <c r="Y33" s="84">
        <v>0</v>
      </c>
      <c r="Z33" s="84">
        <v>0</v>
      </c>
      <c r="AA33" s="84">
        <v>0</v>
      </c>
      <c r="AB33" s="84">
        <v>75000</v>
      </c>
      <c r="AC33" s="84">
        <v>50000</v>
      </c>
      <c r="AD33" s="84">
        <v>50000</v>
      </c>
      <c r="AE33" s="84">
        <v>0</v>
      </c>
      <c r="AF33" s="84">
        <v>0</v>
      </c>
      <c r="AG33" s="84">
        <v>50000</v>
      </c>
      <c r="AH33" s="84">
        <v>50000</v>
      </c>
      <c r="AI33" s="84">
        <v>50000</v>
      </c>
      <c r="AJ33" s="84">
        <v>0</v>
      </c>
      <c r="AK33" s="84">
        <v>0</v>
      </c>
      <c r="AL33" s="84">
        <v>0</v>
      </c>
      <c r="AM33" s="129">
        <f>SUM(C33:AL33)</f>
        <v>625000</v>
      </c>
      <c r="AN33" s="23">
        <f>SUM(C32:N32)</f>
        <v>5400</v>
      </c>
      <c r="AO33" s="21">
        <f>SUM(O32:Z32)</f>
        <v>9000</v>
      </c>
      <c r="AP33" s="20">
        <f>SUM(AA32:AL32)</f>
        <v>14400</v>
      </c>
      <c r="AQ33" s="11">
        <f t="shared" si="22"/>
        <v>0</v>
      </c>
      <c r="AT33" s="11">
        <f>SUM(C33:AB33)</f>
        <v>375000</v>
      </c>
    </row>
    <row r="34" spans="1:46" s="3" customFormat="1" ht="24" customHeight="1" x14ac:dyDescent="0.4">
      <c r="A34" s="24" t="s">
        <v>25</v>
      </c>
      <c r="B34" s="16"/>
      <c r="C34" s="376"/>
      <c r="D34" s="376"/>
      <c r="E34" s="376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6"/>
      <c r="Q34" s="376"/>
      <c r="R34" s="376"/>
      <c r="S34" s="376"/>
      <c r="T34" s="376"/>
      <c r="U34" s="376"/>
      <c r="V34" s="376"/>
      <c r="W34" s="376"/>
      <c r="X34" s="376"/>
      <c r="Y34" s="376"/>
      <c r="Z34" s="376"/>
      <c r="AA34" s="376"/>
      <c r="AB34" s="376"/>
      <c r="AC34" s="376"/>
      <c r="AD34" s="376"/>
      <c r="AE34" s="376"/>
      <c r="AF34" s="376"/>
      <c r="AG34" s="376"/>
      <c r="AH34" s="376"/>
      <c r="AI34" s="376"/>
      <c r="AJ34" s="376"/>
      <c r="AK34" s="376"/>
      <c r="AL34" s="376"/>
      <c r="AM34" s="376"/>
      <c r="AN34" s="25">
        <f>SUM(C33:N33)</f>
        <v>0</v>
      </c>
      <c r="AO34" s="25">
        <f>SUM(O33:Z33)</f>
        <v>300000</v>
      </c>
      <c r="AP34" s="26">
        <f>SUM(AA33:AL33)</f>
        <v>325000</v>
      </c>
      <c r="AQ34" s="11">
        <f t="shared" si="22"/>
        <v>0</v>
      </c>
      <c r="AS34" s="27">
        <f>AM33/36</f>
        <v>17361.111111111109</v>
      </c>
    </row>
    <row r="35" spans="1:46" s="3" customFormat="1" ht="24" customHeight="1" x14ac:dyDescent="0.4">
      <c r="A35" s="16" t="s">
        <v>26</v>
      </c>
      <c r="B35" s="16"/>
      <c r="C35" s="138">
        <v>0</v>
      </c>
      <c r="D35" s="84">
        <v>0</v>
      </c>
      <c r="E35" s="84">
        <v>9000</v>
      </c>
      <c r="F35" s="84">
        <v>0</v>
      </c>
      <c r="G35" s="84">
        <v>0</v>
      </c>
      <c r="H35" s="84">
        <v>0</v>
      </c>
      <c r="I35" s="84">
        <v>0</v>
      </c>
      <c r="J35" s="84">
        <v>0</v>
      </c>
      <c r="K35" s="84">
        <v>20000</v>
      </c>
      <c r="L35" s="84">
        <v>4000</v>
      </c>
      <c r="M35" s="84">
        <v>0</v>
      </c>
      <c r="N35" s="84">
        <f t="shared" ref="N35" si="25">M35</f>
        <v>0</v>
      </c>
      <c r="O35" s="104">
        <v>0</v>
      </c>
      <c r="P35" s="84">
        <v>16000</v>
      </c>
      <c r="Q35" s="84">
        <v>3000</v>
      </c>
      <c r="R35" s="104">
        <v>0</v>
      </c>
      <c r="S35" s="84">
        <v>0</v>
      </c>
      <c r="T35" s="84">
        <v>0</v>
      </c>
      <c r="U35" s="84">
        <v>16000</v>
      </c>
      <c r="V35" s="84">
        <v>6000</v>
      </c>
      <c r="W35" s="84">
        <v>0</v>
      </c>
      <c r="X35" s="84">
        <v>0</v>
      </c>
      <c r="Y35" s="84">
        <v>0</v>
      </c>
      <c r="Z35" s="84">
        <v>0</v>
      </c>
      <c r="AA35" s="84">
        <v>0</v>
      </c>
      <c r="AB35" s="84">
        <v>16000</v>
      </c>
      <c r="AC35" s="84">
        <v>6000</v>
      </c>
      <c r="AD35" s="84">
        <v>6000</v>
      </c>
      <c r="AE35" s="84">
        <v>6000</v>
      </c>
      <c r="AF35" s="84">
        <v>0</v>
      </c>
      <c r="AG35" s="84">
        <v>16000</v>
      </c>
      <c r="AH35" s="84">
        <v>6000</v>
      </c>
      <c r="AI35" s="84">
        <v>6000</v>
      </c>
      <c r="AJ35" s="84">
        <v>0</v>
      </c>
      <c r="AK35" s="84">
        <v>0</v>
      </c>
      <c r="AL35" s="84">
        <v>0</v>
      </c>
      <c r="AM35" s="129">
        <f>SUM(C35:AL35)</f>
        <v>136000</v>
      </c>
      <c r="AN35" s="28"/>
      <c r="AP35" s="10"/>
      <c r="AQ35" s="11">
        <f t="shared" si="22"/>
        <v>0</v>
      </c>
    </row>
    <row r="36" spans="1:46" s="3" customFormat="1" ht="24" customHeight="1" x14ac:dyDescent="0.4">
      <c r="A36" s="16" t="s">
        <v>27</v>
      </c>
      <c r="B36" s="16"/>
      <c r="C36" s="84">
        <v>0</v>
      </c>
      <c r="D36" s="84">
        <f>C36</f>
        <v>0</v>
      </c>
      <c r="E36" s="84">
        <f>D36</f>
        <v>0</v>
      </c>
      <c r="F36" s="84">
        <f t="shared" ref="F36:AL36" si="26">E36</f>
        <v>0</v>
      </c>
      <c r="G36" s="84">
        <f t="shared" si="26"/>
        <v>0</v>
      </c>
      <c r="H36" s="84">
        <f t="shared" si="26"/>
        <v>0</v>
      </c>
      <c r="I36" s="84">
        <f t="shared" si="26"/>
        <v>0</v>
      </c>
      <c r="J36" s="84">
        <f t="shared" si="26"/>
        <v>0</v>
      </c>
      <c r="K36" s="84">
        <f t="shared" si="26"/>
        <v>0</v>
      </c>
      <c r="L36" s="84">
        <f t="shared" si="26"/>
        <v>0</v>
      </c>
      <c r="M36" s="84">
        <f t="shared" si="26"/>
        <v>0</v>
      </c>
      <c r="N36" s="84">
        <f t="shared" si="26"/>
        <v>0</v>
      </c>
      <c r="O36" s="104">
        <v>500</v>
      </c>
      <c r="P36" s="84">
        <f t="shared" si="26"/>
        <v>500</v>
      </c>
      <c r="Q36" s="84">
        <f t="shared" si="26"/>
        <v>500</v>
      </c>
      <c r="R36" s="104">
        <f t="shared" si="26"/>
        <v>500</v>
      </c>
      <c r="S36" s="84">
        <f t="shared" si="26"/>
        <v>500</v>
      </c>
      <c r="T36" s="84">
        <f t="shared" si="26"/>
        <v>500</v>
      </c>
      <c r="U36" s="84">
        <f t="shared" si="26"/>
        <v>500</v>
      </c>
      <c r="V36" s="84">
        <f t="shared" si="26"/>
        <v>500</v>
      </c>
      <c r="W36" s="84">
        <f t="shared" si="26"/>
        <v>500</v>
      </c>
      <c r="X36" s="84">
        <f t="shared" si="26"/>
        <v>500</v>
      </c>
      <c r="Y36" s="84">
        <f t="shared" si="26"/>
        <v>500</v>
      </c>
      <c r="Z36" s="84">
        <f t="shared" si="26"/>
        <v>500</v>
      </c>
      <c r="AA36" s="84">
        <f t="shared" si="26"/>
        <v>500</v>
      </c>
      <c r="AB36" s="84">
        <f t="shared" si="26"/>
        <v>500</v>
      </c>
      <c r="AC36" s="84">
        <f t="shared" si="26"/>
        <v>500</v>
      </c>
      <c r="AD36" s="84">
        <f t="shared" si="26"/>
        <v>500</v>
      </c>
      <c r="AE36" s="84">
        <f t="shared" si="26"/>
        <v>500</v>
      </c>
      <c r="AF36" s="84">
        <f t="shared" si="26"/>
        <v>500</v>
      </c>
      <c r="AG36" s="84">
        <f t="shared" si="26"/>
        <v>500</v>
      </c>
      <c r="AH36" s="84">
        <f t="shared" si="26"/>
        <v>500</v>
      </c>
      <c r="AI36" s="84">
        <f t="shared" si="26"/>
        <v>500</v>
      </c>
      <c r="AJ36" s="84">
        <f t="shared" si="26"/>
        <v>500</v>
      </c>
      <c r="AK36" s="84">
        <f t="shared" si="26"/>
        <v>500</v>
      </c>
      <c r="AL36" s="84">
        <f t="shared" si="26"/>
        <v>500</v>
      </c>
      <c r="AM36" s="129">
        <f>SUM(C36:AL36)</f>
        <v>12000</v>
      </c>
      <c r="AN36" s="29">
        <f t="shared" ref="AN36:AN50" si="27">SUM(C35:N35)</f>
        <v>33000</v>
      </c>
      <c r="AO36" s="29">
        <f t="shared" ref="AO36:AO50" si="28">SUM(O35:Z35)</f>
        <v>41000</v>
      </c>
      <c r="AP36" s="30">
        <f t="shared" ref="AP36:AP50" si="29">SUM(AA35:AL35)</f>
        <v>62000</v>
      </c>
      <c r="AQ36" s="11">
        <f t="shared" si="22"/>
        <v>0</v>
      </c>
      <c r="AR36" s="31">
        <f>B36*2%-AM36</f>
        <v>-12000</v>
      </c>
      <c r="AS36" s="8"/>
    </row>
    <row r="37" spans="1:46" s="3" customFormat="1" ht="24" customHeight="1" x14ac:dyDescent="0.4">
      <c r="A37" s="16" t="s">
        <v>28</v>
      </c>
      <c r="B37" s="16"/>
      <c r="C37" s="138">
        <f>(0/36)</f>
        <v>0</v>
      </c>
      <c r="D37" s="84">
        <f t="shared" ref="D37:S52" si="30">C37</f>
        <v>0</v>
      </c>
      <c r="E37" s="84">
        <f t="shared" si="30"/>
        <v>0</v>
      </c>
      <c r="F37" s="84">
        <f t="shared" si="30"/>
        <v>0</v>
      </c>
      <c r="G37" s="84">
        <f t="shared" si="30"/>
        <v>0</v>
      </c>
      <c r="H37" s="84">
        <f t="shared" si="30"/>
        <v>0</v>
      </c>
      <c r="I37" s="84">
        <f t="shared" si="30"/>
        <v>0</v>
      </c>
      <c r="J37" s="84">
        <f t="shared" si="30"/>
        <v>0</v>
      </c>
      <c r="K37" s="84">
        <f t="shared" si="30"/>
        <v>0</v>
      </c>
      <c r="L37" s="84">
        <f t="shared" si="30"/>
        <v>0</v>
      </c>
      <c r="M37" s="84">
        <f t="shared" si="30"/>
        <v>0</v>
      </c>
      <c r="N37" s="84">
        <f t="shared" si="30"/>
        <v>0</v>
      </c>
      <c r="O37" s="104">
        <f t="shared" ref="O37:AL37" si="31">6480/3/12*1</f>
        <v>180</v>
      </c>
      <c r="P37" s="84">
        <f t="shared" si="31"/>
        <v>180</v>
      </c>
      <c r="Q37" s="84">
        <f t="shared" si="31"/>
        <v>180</v>
      </c>
      <c r="R37" s="104">
        <f t="shared" si="31"/>
        <v>180</v>
      </c>
      <c r="S37" s="84">
        <f t="shared" si="31"/>
        <v>180</v>
      </c>
      <c r="T37" s="84">
        <f t="shared" si="31"/>
        <v>180</v>
      </c>
      <c r="U37" s="84">
        <f t="shared" si="31"/>
        <v>180</v>
      </c>
      <c r="V37" s="84">
        <f t="shared" si="31"/>
        <v>180</v>
      </c>
      <c r="W37" s="84">
        <f t="shared" si="31"/>
        <v>180</v>
      </c>
      <c r="X37" s="84">
        <f t="shared" si="31"/>
        <v>180</v>
      </c>
      <c r="Y37" s="84">
        <f t="shared" si="31"/>
        <v>180</v>
      </c>
      <c r="Z37" s="84">
        <f t="shared" si="31"/>
        <v>180</v>
      </c>
      <c r="AA37" s="84">
        <f t="shared" si="31"/>
        <v>180</v>
      </c>
      <c r="AB37" s="84">
        <f t="shared" si="31"/>
        <v>180</v>
      </c>
      <c r="AC37" s="84">
        <f t="shared" si="31"/>
        <v>180</v>
      </c>
      <c r="AD37" s="84">
        <f t="shared" si="31"/>
        <v>180</v>
      </c>
      <c r="AE37" s="84">
        <f t="shared" si="31"/>
        <v>180</v>
      </c>
      <c r="AF37" s="84">
        <f t="shared" si="31"/>
        <v>180</v>
      </c>
      <c r="AG37" s="84">
        <f t="shared" si="31"/>
        <v>180</v>
      </c>
      <c r="AH37" s="84">
        <f t="shared" si="31"/>
        <v>180</v>
      </c>
      <c r="AI37" s="84">
        <f t="shared" si="31"/>
        <v>180</v>
      </c>
      <c r="AJ37" s="84">
        <f t="shared" si="31"/>
        <v>180</v>
      </c>
      <c r="AK37" s="84">
        <f t="shared" si="31"/>
        <v>180</v>
      </c>
      <c r="AL37" s="84">
        <f t="shared" si="31"/>
        <v>180</v>
      </c>
      <c r="AM37" s="129">
        <f t="shared" ref="AM37:AM58" si="32">SUM(C37:AL37)</f>
        <v>4320</v>
      </c>
      <c r="AN37" s="32">
        <f>SUM(C36:N36)</f>
        <v>0</v>
      </c>
      <c r="AO37" s="32">
        <f t="shared" si="28"/>
        <v>6000</v>
      </c>
      <c r="AP37" s="33">
        <f t="shared" si="29"/>
        <v>6000</v>
      </c>
      <c r="AQ37" s="11">
        <f t="shared" si="22"/>
        <v>0</v>
      </c>
    </row>
    <row r="38" spans="1:46" s="3" customFormat="1" ht="24" customHeight="1" x14ac:dyDescent="0.4">
      <c r="A38" s="16" t="s">
        <v>29</v>
      </c>
      <c r="B38" s="16"/>
      <c r="C38" s="138">
        <v>50</v>
      </c>
      <c r="D38" s="84">
        <f t="shared" si="30"/>
        <v>50</v>
      </c>
      <c r="E38" s="84">
        <f t="shared" si="30"/>
        <v>50</v>
      </c>
      <c r="F38" s="84">
        <f t="shared" si="30"/>
        <v>50</v>
      </c>
      <c r="G38" s="84">
        <f t="shared" si="30"/>
        <v>50</v>
      </c>
      <c r="H38" s="84">
        <f t="shared" si="30"/>
        <v>50</v>
      </c>
      <c r="I38" s="84">
        <f t="shared" si="30"/>
        <v>50</v>
      </c>
      <c r="J38" s="84">
        <f t="shared" si="30"/>
        <v>50</v>
      </c>
      <c r="K38" s="84">
        <f t="shared" si="30"/>
        <v>50</v>
      </c>
      <c r="L38" s="84">
        <f t="shared" si="30"/>
        <v>50</v>
      </c>
      <c r="M38" s="84">
        <f t="shared" si="30"/>
        <v>50</v>
      </c>
      <c r="N38" s="84">
        <f t="shared" si="30"/>
        <v>50</v>
      </c>
      <c r="O38" s="104">
        <f t="shared" si="30"/>
        <v>50</v>
      </c>
      <c r="P38" s="84">
        <f t="shared" si="30"/>
        <v>50</v>
      </c>
      <c r="Q38" s="84">
        <f t="shared" si="30"/>
        <v>50</v>
      </c>
      <c r="R38" s="104">
        <f t="shared" si="30"/>
        <v>50</v>
      </c>
      <c r="S38" s="84">
        <f t="shared" si="30"/>
        <v>50</v>
      </c>
      <c r="T38" s="84">
        <f t="shared" ref="T38:AL38" si="33">S38</f>
        <v>50</v>
      </c>
      <c r="U38" s="84">
        <f t="shared" si="33"/>
        <v>50</v>
      </c>
      <c r="V38" s="84">
        <f t="shared" si="33"/>
        <v>50</v>
      </c>
      <c r="W38" s="84">
        <f t="shared" si="33"/>
        <v>50</v>
      </c>
      <c r="X38" s="84">
        <f t="shared" si="33"/>
        <v>50</v>
      </c>
      <c r="Y38" s="84">
        <f t="shared" si="33"/>
        <v>50</v>
      </c>
      <c r="Z38" s="84">
        <f t="shared" si="33"/>
        <v>50</v>
      </c>
      <c r="AA38" s="84">
        <f t="shared" si="33"/>
        <v>50</v>
      </c>
      <c r="AB38" s="84">
        <f t="shared" si="33"/>
        <v>50</v>
      </c>
      <c r="AC38" s="84">
        <f t="shared" si="33"/>
        <v>50</v>
      </c>
      <c r="AD38" s="84">
        <f t="shared" si="33"/>
        <v>50</v>
      </c>
      <c r="AE38" s="84">
        <f t="shared" si="33"/>
        <v>50</v>
      </c>
      <c r="AF38" s="84">
        <f t="shared" si="33"/>
        <v>50</v>
      </c>
      <c r="AG38" s="84">
        <f t="shared" si="33"/>
        <v>50</v>
      </c>
      <c r="AH38" s="84">
        <f t="shared" si="33"/>
        <v>50</v>
      </c>
      <c r="AI38" s="84">
        <f t="shared" si="33"/>
        <v>50</v>
      </c>
      <c r="AJ38" s="84">
        <f t="shared" si="33"/>
        <v>50</v>
      </c>
      <c r="AK38" s="84">
        <f t="shared" si="33"/>
        <v>50</v>
      </c>
      <c r="AL38" s="84">
        <f t="shared" si="33"/>
        <v>50</v>
      </c>
      <c r="AM38" s="129">
        <f t="shared" si="32"/>
        <v>1800</v>
      </c>
      <c r="AN38" s="34">
        <f t="shared" si="27"/>
        <v>0</v>
      </c>
      <c r="AO38" s="34">
        <f t="shared" si="28"/>
        <v>2160</v>
      </c>
      <c r="AP38" s="35">
        <f t="shared" si="29"/>
        <v>2160</v>
      </c>
      <c r="AQ38" s="11">
        <f t="shared" si="22"/>
        <v>0</v>
      </c>
    </row>
    <row r="39" spans="1:46" s="3" customFormat="1" ht="24" customHeight="1" x14ac:dyDescent="0.4">
      <c r="A39" s="16" t="s">
        <v>30</v>
      </c>
      <c r="B39" s="16"/>
      <c r="C39" s="138">
        <v>75</v>
      </c>
      <c r="D39" s="84">
        <f t="shared" si="30"/>
        <v>75</v>
      </c>
      <c r="E39" s="84">
        <f t="shared" si="30"/>
        <v>75</v>
      </c>
      <c r="F39" s="84">
        <f t="shared" si="30"/>
        <v>75</v>
      </c>
      <c r="G39" s="84">
        <f t="shared" si="30"/>
        <v>75</v>
      </c>
      <c r="H39" s="84">
        <f t="shared" si="30"/>
        <v>75</v>
      </c>
      <c r="I39" s="84">
        <f t="shared" si="30"/>
        <v>75</v>
      </c>
      <c r="J39" s="84">
        <f t="shared" si="30"/>
        <v>75</v>
      </c>
      <c r="K39" s="84">
        <f t="shared" si="30"/>
        <v>75</v>
      </c>
      <c r="L39" s="84">
        <f t="shared" si="30"/>
        <v>75</v>
      </c>
      <c r="M39" s="84">
        <f t="shared" si="30"/>
        <v>75</v>
      </c>
      <c r="N39" s="84">
        <f t="shared" si="30"/>
        <v>75</v>
      </c>
      <c r="O39" s="104">
        <v>100</v>
      </c>
      <c r="P39" s="84">
        <v>100</v>
      </c>
      <c r="Q39" s="84">
        <v>100</v>
      </c>
      <c r="R39" s="104">
        <v>100</v>
      </c>
      <c r="S39" s="84">
        <v>100</v>
      </c>
      <c r="T39" s="84">
        <v>100</v>
      </c>
      <c r="U39" s="84">
        <v>100</v>
      </c>
      <c r="V39" s="84">
        <v>100</v>
      </c>
      <c r="W39" s="84">
        <v>100</v>
      </c>
      <c r="X39" s="84">
        <v>100</v>
      </c>
      <c r="Y39" s="84">
        <v>100</v>
      </c>
      <c r="Z39" s="84">
        <v>100</v>
      </c>
      <c r="AA39" s="84">
        <v>125</v>
      </c>
      <c r="AB39" s="84">
        <v>125</v>
      </c>
      <c r="AC39" s="84">
        <v>125</v>
      </c>
      <c r="AD39" s="84">
        <v>125</v>
      </c>
      <c r="AE39" s="84">
        <v>125</v>
      </c>
      <c r="AF39" s="84">
        <v>125</v>
      </c>
      <c r="AG39" s="84">
        <v>125</v>
      </c>
      <c r="AH39" s="84">
        <v>125</v>
      </c>
      <c r="AI39" s="84">
        <v>125</v>
      </c>
      <c r="AJ39" s="84">
        <v>125</v>
      </c>
      <c r="AK39" s="84">
        <v>125</v>
      </c>
      <c r="AL39" s="84">
        <v>125</v>
      </c>
      <c r="AM39" s="129">
        <f t="shared" si="32"/>
        <v>3600</v>
      </c>
      <c r="AN39" s="36">
        <f t="shared" si="27"/>
        <v>600</v>
      </c>
      <c r="AO39" s="36">
        <f t="shared" si="28"/>
        <v>600</v>
      </c>
      <c r="AP39" s="37">
        <f t="shared" si="29"/>
        <v>600</v>
      </c>
      <c r="AQ39" s="11">
        <f t="shared" si="22"/>
        <v>0</v>
      </c>
    </row>
    <row r="40" spans="1:46" s="3" customFormat="1" ht="24" customHeight="1" x14ac:dyDescent="0.4">
      <c r="A40" s="16" t="s">
        <v>31</v>
      </c>
      <c r="B40" s="16"/>
      <c r="C40" s="138">
        <v>0</v>
      </c>
      <c r="D40" s="84">
        <f t="shared" si="30"/>
        <v>0</v>
      </c>
      <c r="E40" s="84">
        <f t="shared" si="30"/>
        <v>0</v>
      </c>
      <c r="F40" s="84">
        <f t="shared" si="30"/>
        <v>0</v>
      </c>
      <c r="G40" s="84">
        <f t="shared" si="30"/>
        <v>0</v>
      </c>
      <c r="H40" s="84">
        <f t="shared" si="30"/>
        <v>0</v>
      </c>
      <c r="I40" s="84">
        <f t="shared" si="30"/>
        <v>0</v>
      </c>
      <c r="J40" s="84">
        <f t="shared" si="30"/>
        <v>0</v>
      </c>
      <c r="K40" s="84">
        <f t="shared" si="30"/>
        <v>0</v>
      </c>
      <c r="L40" s="84">
        <f t="shared" si="30"/>
        <v>0</v>
      </c>
      <c r="M40" s="84">
        <f t="shared" si="30"/>
        <v>0</v>
      </c>
      <c r="N40" s="84">
        <f t="shared" si="30"/>
        <v>0</v>
      </c>
      <c r="O40" s="104">
        <v>0</v>
      </c>
      <c r="P40" s="84">
        <v>0</v>
      </c>
      <c r="Q40" s="84">
        <v>0</v>
      </c>
      <c r="R40" s="104">
        <v>0</v>
      </c>
      <c r="S40" s="84">
        <v>0</v>
      </c>
      <c r="T40" s="84">
        <v>0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0</v>
      </c>
      <c r="AA40" s="84">
        <v>0</v>
      </c>
      <c r="AB40" s="84">
        <v>0</v>
      </c>
      <c r="AC40" s="84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</v>
      </c>
      <c r="AJ40" s="84">
        <v>0</v>
      </c>
      <c r="AK40" s="84">
        <v>0</v>
      </c>
      <c r="AL40" s="84">
        <v>0</v>
      </c>
      <c r="AM40" s="129">
        <f t="shared" si="32"/>
        <v>0</v>
      </c>
      <c r="AN40" s="36">
        <f>SUM(C39:N39)</f>
        <v>900</v>
      </c>
      <c r="AO40" s="36">
        <f t="shared" si="28"/>
        <v>1200</v>
      </c>
      <c r="AP40" s="37">
        <f t="shared" si="29"/>
        <v>1500</v>
      </c>
      <c r="AQ40" s="11">
        <f t="shared" si="22"/>
        <v>0</v>
      </c>
    </row>
    <row r="41" spans="1:46" s="3" customFormat="1" ht="24" customHeight="1" x14ac:dyDescent="0.4">
      <c r="A41" s="16" t="s">
        <v>32</v>
      </c>
      <c r="B41" s="16"/>
      <c r="C41" s="138">
        <f>15*3</f>
        <v>45</v>
      </c>
      <c r="D41" s="84">
        <f t="shared" si="30"/>
        <v>45</v>
      </c>
      <c r="E41" s="84">
        <f t="shared" si="30"/>
        <v>45</v>
      </c>
      <c r="F41" s="84">
        <f t="shared" si="30"/>
        <v>45</v>
      </c>
      <c r="G41" s="84">
        <f t="shared" si="30"/>
        <v>45</v>
      </c>
      <c r="H41" s="84">
        <f t="shared" si="30"/>
        <v>45</v>
      </c>
      <c r="I41" s="84">
        <f t="shared" si="30"/>
        <v>45</v>
      </c>
      <c r="J41" s="84">
        <f t="shared" si="30"/>
        <v>45</v>
      </c>
      <c r="K41" s="84">
        <f t="shared" si="30"/>
        <v>45</v>
      </c>
      <c r="L41" s="84">
        <f t="shared" si="30"/>
        <v>45</v>
      </c>
      <c r="M41" s="84">
        <f t="shared" si="30"/>
        <v>45</v>
      </c>
      <c r="N41" s="84">
        <f t="shared" si="30"/>
        <v>45</v>
      </c>
      <c r="O41" s="104">
        <f t="shared" ref="O41:AL41" si="34">15*3</f>
        <v>45</v>
      </c>
      <c r="P41" s="84">
        <f t="shared" si="34"/>
        <v>45</v>
      </c>
      <c r="Q41" s="84">
        <f t="shared" si="34"/>
        <v>45</v>
      </c>
      <c r="R41" s="104">
        <f t="shared" si="34"/>
        <v>45</v>
      </c>
      <c r="S41" s="84">
        <f t="shared" si="34"/>
        <v>45</v>
      </c>
      <c r="T41" s="84">
        <f t="shared" si="34"/>
        <v>45</v>
      </c>
      <c r="U41" s="84">
        <f t="shared" si="34"/>
        <v>45</v>
      </c>
      <c r="V41" s="84">
        <f t="shared" si="34"/>
        <v>45</v>
      </c>
      <c r="W41" s="84">
        <f t="shared" si="34"/>
        <v>45</v>
      </c>
      <c r="X41" s="84">
        <f t="shared" si="34"/>
        <v>45</v>
      </c>
      <c r="Y41" s="84">
        <f t="shared" si="34"/>
        <v>45</v>
      </c>
      <c r="Z41" s="84">
        <f t="shared" si="34"/>
        <v>45</v>
      </c>
      <c r="AA41" s="84">
        <f t="shared" si="34"/>
        <v>45</v>
      </c>
      <c r="AB41" s="84">
        <f t="shared" si="34"/>
        <v>45</v>
      </c>
      <c r="AC41" s="84">
        <f t="shared" si="34"/>
        <v>45</v>
      </c>
      <c r="AD41" s="84">
        <f t="shared" si="34"/>
        <v>45</v>
      </c>
      <c r="AE41" s="84">
        <f t="shared" si="34"/>
        <v>45</v>
      </c>
      <c r="AF41" s="84">
        <f t="shared" si="34"/>
        <v>45</v>
      </c>
      <c r="AG41" s="84">
        <f t="shared" si="34"/>
        <v>45</v>
      </c>
      <c r="AH41" s="84">
        <f t="shared" si="34"/>
        <v>45</v>
      </c>
      <c r="AI41" s="84">
        <f t="shared" si="34"/>
        <v>45</v>
      </c>
      <c r="AJ41" s="84">
        <f t="shared" si="34"/>
        <v>45</v>
      </c>
      <c r="AK41" s="84">
        <f t="shared" si="34"/>
        <v>45</v>
      </c>
      <c r="AL41" s="84">
        <f t="shared" si="34"/>
        <v>45</v>
      </c>
      <c r="AM41" s="129">
        <f t="shared" si="32"/>
        <v>1620</v>
      </c>
      <c r="AN41" s="38">
        <f t="shared" si="27"/>
        <v>0</v>
      </c>
      <c r="AO41" s="38">
        <f t="shared" si="28"/>
        <v>0</v>
      </c>
      <c r="AP41" s="39">
        <f t="shared" si="29"/>
        <v>0</v>
      </c>
      <c r="AQ41" s="11">
        <f t="shared" si="22"/>
        <v>0</v>
      </c>
    </row>
    <row r="42" spans="1:46" s="3" customFormat="1" ht="24" customHeight="1" x14ac:dyDescent="0.4">
      <c r="A42" s="16" t="s">
        <v>33</v>
      </c>
      <c r="B42" s="16"/>
      <c r="C42" s="138">
        <v>30</v>
      </c>
      <c r="D42" s="84">
        <f t="shared" si="30"/>
        <v>30</v>
      </c>
      <c r="E42" s="84">
        <f t="shared" si="30"/>
        <v>30</v>
      </c>
      <c r="F42" s="84">
        <f t="shared" si="30"/>
        <v>30</v>
      </c>
      <c r="G42" s="84">
        <f t="shared" si="30"/>
        <v>30</v>
      </c>
      <c r="H42" s="84">
        <f t="shared" si="30"/>
        <v>30</v>
      </c>
      <c r="I42" s="84">
        <f t="shared" si="30"/>
        <v>30</v>
      </c>
      <c r="J42" s="84">
        <f t="shared" si="30"/>
        <v>30</v>
      </c>
      <c r="K42" s="84">
        <f t="shared" si="30"/>
        <v>30</v>
      </c>
      <c r="L42" s="84">
        <f t="shared" si="30"/>
        <v>30</v>
      </c>
      <c r="M42" s="84">
        <f t="shared" si="30"/>
        <v>30</v>
      </c>
      <c r="N42" s="84">
        <f t="shared" si="30"/>
        <v>30</v>
      </c>
      <c r="O42" s="104">
        <f t="shared" si="30"/>
        <v>30</v>
      </c>
      <c r="P42" s="84">
        <f t="shared" si="30"/>
        <v>30</v>
      </c>
      <c r="Q42" s="84">
        <f t="shared" si="30"/>
        <v>30</v>
      </c>
      <c r="R42" s="104">
        <f t="shared" si="30"/>
        <v>30</v>
      </c>
      <c r="S42" s="84">
        <f t="shared" si="30"/>
        <v>30</v>
      </c>
      <c r="T42" s="84">
        <f t="shared" ref="T42:AL42" si="35">S42</f>
        <v>30</v>
      </c>
      <c r="U42" s="84">
        <f t="shared" si="35"/>
        <v>30</v>
      </c>
      <c r="V42" s="84">
        <f t="shared" si="35"/>
        <v>30</v>
      </c>
      <c r="W42" s="84">
        <f t="shared" si="35"/>
        <v>30</v>
      </c>
      <c r="X42" s="84">
        <f t="shared" si="35"/>
        <v>30</v>
      </c>
      <c r="Y42" s="84">
        <f t="shared" si="35"/>
        <v>30</v>
      </c>
      <c r="Z42" s="84">
        <f t="shared" si="35"/>
        <v>30</v>
      </c>
      <c r="AA42" s="84">
        <f t="shared" si="35"/>
        <v>30</v>
      </c>
      <c r="AB42" s="84">
        <f t="shared" si="35"/>
        <v>30</v>
      </c>
      <c r="AC42" s="84">
        <f t="shared" si="35"/>
        <v>30</v>
      </c>
      <c r="AD42" s="84">
        <f t="shared" si="35"/>
        <v>30</v>
      </c>
      <c r="AE42" s="84">
        <f t="shared" si="35"/>
        <v>30</v>
      </c>
      <c r="AF42" s="84">
        <f t="shared" si="35"/>
        <v>30</v>
      </c>
      <c r="AG42" s="84">
        <f t="shared" si="35"/>
        <v>30</v>
      </c>
      <c r="AH42" s="84">
        <f t="shared" si="35"/>
        <v>30</v>
      </c>
      <c r="AI42" s="84">
        <f t="shared" si="35"/>
        <v>30</v>
      </c>
      <c r="AJ42" s="84">
        <f t="shared" si="35"/>
        <v>30</v>
      </c>
      <c r="AK42" s="84">
        <f t="shared" si="35"/>
        <v>30</v>
      </c>
      <c r="AL42" s="84">
        <f t="shared" si="35"/>
        <v>30</v>
      </c>
      <c r="AM42" s="129">
        <f t="shared" si="32"/>
        <v>1080</v>
      </c>
      <c r="AN42" s="38">
        <f t="shared" si="27"/>
        <v>540</v>
      </c>
      <c r="AO42" s="38">
        <f t="shared" si="28"/>
        <v>540</v>
      </c>
      <c r="AP42" s="39">
        <f t="shared" si="29"/>
        <v>540</v>
      </c>
      <c r="AQ42" s="11">
        <f t="shared" si="22"/>
        <v>0</v>
      </c>
    </row>
    <row r="43" spans="1:46" s="3" customFormat="1" ht="24" customHeight="1" x14ac:dyDescent="0.4">
      <c r="A43" s="16" t="s">
        <v>34</v>
      </c>
      <c r="B43" s="16"/>
      <c r="C43" s="138">
        <v>0</v>
      </c>
      <c r="D43" s="84">
        <f t="shared" si="30"/>
        <v>0</v>
      </c>
      <c r="E43" s="84">
        <f t="shared" si="30"/>
        <v>0</v>
      </c>
      <c r="F43" s="84">
        <f t="shared" si="30"/>
        <v>0</v>
      </c>
      <c r="G43" s="84">
        <f t="shared" si="30"/>
        <v>0</v>
      </c>
      <c r="H43" s="84">
        <f t="shared" si="30"/>
        <v>0</v>
      </c>
      <c r="I43" s="84">
        <f t="shared" si="30"/>
        <v>0</v>
      </c>
      <c r="J43" s="84">
        <f t="shared" si="30"/>
        <v>0</v>
      </c>
      <c r="K43" s="84">
        <f t="shared" si="30"/>
        <v>0</v>
      </c>
      <c r="L43" s="84">
        <f t="shared" si="30"/>
        <v>0</v>
      </c>
      <c r="M43" s="84">
        <f t="shared" si="30"/>
        <v>0</v>
      </c>
      <c r="N43" s="84">
        <f t="shared" si="30"/>
        <v>0</v>
      </c>
      <c r="O43" s="104">
        <v>0</v>
      </c>
      <c r="P43" s="84">
        <v>0</v>
      </c>
      <c r="Q43" s="84">
        <v>0</v>
      </c>
      <c r="R43" s="104">
        <v>0</v>
      </c>
      <c r="S43" s="84">
        <v>0</v>
      </c>
      <c r="T43" s="84">
        <v>0</v>
      </c>
      <c r="U43" s="84">
        <v>0</v>
      </c>
      <c r="V43" s="84">
        <v>0</v>
      </c>
      <c r="W43" s="84">
        <v>0</v>
      </c>
      <c r="X43" s="84">
        <v>0</v>
      </c>
      <c r="Y43" s="84">
        <v>0</v>
      </c>
      <c r="Z43" s="84">
        <v>0</v>
      </c>
      <c r="AA43" s="84">
        <v>0</v>
      </c>
      <c r="AB43" s="84">
        <v>0</v>
      </c>
      <c r="AC43" s="84">
        <v>0</v>
      </c>
      <c r="AD43" s="84">
        <v>0</v>
      </c>
      <c r="AE43" s="84">
        <v>0</v>
      </c>
      <c r="AF43" s="84">
        <v>0</v>
      </c>
      <c r="AG43" s="84">
        <v>0</v>
      </c>
      <c r="AH43" s="84">
        <v>0</v>
      </c>
      <c r="AI43" s="84">
        <v>0</v>
      </c>
      <c r="AJ43" s="84">
        <v>0</v>
      </c>
      <c r="AK43" s="84">
        <v>0</v>
      </c>
      <c r="AL43" s="84">
        <v>0</v>
      </c>
      <c r="AM43" s="129">
        <f t="shared" si="32"/>
        <v>0</v>
      </c>
      <c r="AN43" s="38">
        <f t="shared" si="27"/>
        <v>360</v>
      </c>
      <c r="AO43" s="38">
        <f t="shared" si="28"/>
        <v>360</v>
      </c>
      <c r="AP43" s="39">
        <f t="shared" si="29"/>
        <v>360</v>
      </c>
      <c r="AQ43" s="11">
        <f t="shared" si="22"/>
        <v>0</v>
      </c>
    </row>
    <row r="44" spans="1:46" s="3" customFormat="1" ht="24" customHeight="1" x14ac:dyDescent="0.4">
      <c r="A44" s="16" t="s">
        <v>35</v>
      </c>
      <c r="B44" s="16"/>
      <c r="C44" s="138">
        <f>2000/12</f>
        <v>166.66666666666666</v>
      </c>
      <c r="D44" s="84">
        <f t="shared" si="30"/>
        <v>166.66666666666666</v>
      </c>
      <c r="E44" s="84">
        <f t="shared" si="30"/>
        <v>166.66666666666666</v>
      </c>
      <c r="F44" s="84">
        <f t="shared" si="30"/>
        <v>166.66666666666666</v>
      </c>
      <c r="G44" s="84">
        <f t="shared" si="30"/>
        <v>166.66666666666666</v>
      </c>
      <c r="H44" s="84">
        <f t="shared" si="30"/>
        <v>166.66666666666666</v>
      </c>
      <c r="I44" s="84">
        <f t="shared" si="30"/>
        <v>166.66666666666666</v>
      </c>
      <c r="J44" s="84">
        <f t="shared" si="30"/>
        <v>166.66666666666666</v>
      </c>
      <c r="K44" s="84">
        <f t="shared" si="30"/>
        <v>166.66666666666666</v>
      </c>
      <c r="L44" s="84">
        <f t="shared" si="30"/>
        <v>166.66666666666666</v>
      </c>
      <c r="M44" s="84">
        <f t="shared" si="30"/>
        <v>166.66666666666666</v>
      </c>
      <c r="N44" s="84">
        <f t="shared" si="30"/>
        <v>166.66666666666666</v>
      </c>
      <c r="O44" s="104">
        <f t="shared" ref="O44:AL44" si="36">2000/12</f>
        <v>166.66666666666666</v>
      </c>
      <c r="P44" s="84">
        <f t="shared" si="36"/>
        <v>166.66666666666666</v>
      </c>
      <c r="Q44" s="84">
        <f t="shared" si="36"/>
        <v>166.66666666666666</v>
      </c>
      <c r="R44" s="104">
        <f t="shared" si="36"/>
        <v>166.66666666666666</v>
      </c>
      <c r="S44" s="84">
        <f t="shared" si="36"/>
        <v>166.66666666666666</v>
      </c>
      <c r="T44" s="84">
        <f t="shared" si="36"/>
        <v>166.66666666666666</v>
      </c>
      <c r="U44" s="84">
        <f t="shared" si="36"/>
        <v>166.66666666666666</v>
      </c>
      <c r="V44" s="84">
        <f t="shared" si="36"/>
        <v>166.66666666666666</v>
      </c>
      <c r="W44" s="84">
        <f t="shared" si="36"/>
        <v>166.66666666666666</v>
      </c>
      <c r="X44" s="84">
        <f t="shared" si="36"/>
        <v>166.66666666666666</v>
      </c>
      <c r="Y44" s="84">
        <f t="shared" si="36"/>
        <v>166.66666666666666</v>
      </c>
      <c r="Z44" s="84">
        <f t="shared" si="36"/>
        <v>166.66666666666666</v>
      </c>
      <c r="AA44" s="84">
        <f t="shared" si="36"/>
        <v>166.66666666666666</v>
      </c>
      <c r="AB44" s="84">
        <f t="shared" si="36"/>
        <v>166.66666666666666</v>
      </c>
      <c r="AC44" s="84">
        <f t="shared" si="36"/>
        <v>166.66666666666666</v>
      </c>
      <c r="AD44" s="84">
        <f t="shared" si="36"/>
        <v>166.66666666666666</v>
      </c>
      <c r="AE44" s="84">
        <f t="shared" si="36"/>
        <v>166.66666666666666</v>
      </c>
      <c r="AF44" s="84">
        <f t="shared" si="36"/>
        <v>166.66666666666666</v>
      </c>
      <c r="AG44" s="84">
        <f t="shared" si="36"/>
        <v>166.66666666666666</v>
      </c>
      <c r="AH44" s="84">
        <f t="shared" si="36"/>
        <v>166.66666666666666</v>
      </c>
      <c r="AI44" s="84">
        <f t="shared" si="36"/>
        <v>166.66666666666666</v>
      </c>
      <c r="AJ44" s="84">
        <f t="shared" si="36"/>
        <v>166.66666666666666</v>
      </c>
      <c r="AK44" s="84">
        <f t="shared" si="36"/>
        <v>166.66666666666666</v>
      </c>
      <c r="AL44" s="84">
        <f t="shared" si="36"/>
        <v>166.66666666666666</v>
      </c>
      <c r="AM44" s="129">
        <f t="shared" si="32"/>
        <v>6000.0000000000018</v>
      </c>
      <c r="AN44" s="38">
        <f t="shared" si="27"/>
        <v>0</v>
      </c>
      <c r="AO44" s="38">
        <f t="shared" si="28"/>
        <v>0</v>
      </c>
      <c r="AP44" s="39">
        <f t="shared" si="29"/>
        <v>0</v>
      </c>
      <c r="AQ44" s="11">
        <f t="shared" si="22"/>
        <v>0</v>
      </c>
    </row>
    <row r="45" spans="1:46" s="3" customFormat="1" ht="24" customHeight="1" x14ac:dyDescent="0.4">
      <c r="A45" s="16" t="s">
        <v>36</v>
      </c>
      <c r="B45" s="16"/>
      <c r="C45" s="138">
        <f>(C30*(15/12)/26)</f>
        <v>168.26923076923077</v>
      </c>
      <c r="D45" s="84">
        <f t="shared" si="30"/>
        <v>168.26923076923077</v>
      </c>
      <c r="E45" s="84">
        <f t="shared" si="30"/>
        <v>168.26923076923077</v>
      </c>
      <c r="F45" s="84">
        <f t="shared" si="30"/>
        <v>168.26923076923077</v>
      </c>
      <c r="G45" s="84">
        <f t="shared" si="30"/>
        <v>168.26923076923077</v>
      </c>
      <c r="H45" s="84">
        <f t="shared" si="30"/>
        <v>168.26923076923077</v>
      </c>
      <c r="I45" s="84">
        <f t="shared" si="30"/>
        <v>168.26923076923077</v>
      </c>
      <c r="J45" s="84">
        <f t="shared" si="30"/>
        <v>168.26923076923077</v>
      </c>
      <c r="K45" s="84">
        <f t="shared" si="30"/>
        <v>168.26923076923077</v>
      </c>
      <c r="L45" s="84">
        <f t="shared" si="30"/>
        <v>168.26923076923077</v>
      </c>
      <c r="M45" s="84">
        <f t="shared" si="30"/>
        <v>168.26923076923077</v>
      </c>
      <c r="N45" s="84">
        <f t="shared" si="30"/>
        <v>168.26923076923077</v>
      </c>
      <c r="O45" s="104">
        <f t="shared" ref="O45:AK45" si="37">(O30*(15/12)/26)</f>
        <v>432.69230769230768</v>
      </c>
      <c r="P45" s="84">
        <f t="shared" si="37"/>
        <v>432.69230769230768</v>
      </c>
      <c r="Q45" s="84">
        <f t="shared" si="37"/>
        <v>432.69230769230768</v>
      </c>
      <c r="R45" s="104">
        <f t="shared" si="37"/>
        <v>432.69230769230768</v>
      </c>
      <c r="S45" s="84">
        <f t="shared" si="37"/>
        <v>432.69230769230768</v>
      </c>
      <c r="T45" s="84">
        <f t="shared" si="37"/>
        <v>432.69230769230768</v>
      </c>
      <c r="U45" s="84">
        <f t="shared" si="37"/>
        <v>432.69230769230768</v>
      </c>
      <c r="V45" s="84">
        <f t="shared" si="37"/>
        <v>432.69230769230768</v>
      </c>
      <c r="W45" s="84">
        <f t="shared" si="37"/>
        <v>432.69230769230768</v>
      </c>
      <c r="X45" s="84">
        <f t="shared" si="37"/>
        <v>432.69230769230768</v>
      </c>
      <c r="Y45" s="84">
        <f t="shared" si="37"/>
        <v>432.69230769230768</v>
      </c>
      <c r="Z45" s="84">
        <f t="shared" si="37"/>
        <v>432.69230769230768</v>
      </c>
      <c r="AA45" s="84">
        <f>(AA30*(15/12)/26)</f>
        <v>576.92307692307691</v>
      </c>
      <c r="AB45" s="84">
        <f t="shared" si="37"/>
        <v>576.92307692307691</v>
      </c>
      <c r="AC45" s="84">
        <f t="shared" si="37"/>
        <v>576.92307692307691</v>
      </c>
      <c r="AD45" s="84">
        <f t="shared" si="37"/>
        <v>576.92307692307691</v>
      </c>
      <c r="AE45" s="84">
        <f t="shared" si="37"/>
        <v>576.92307692307691</v>
      </c>
      <c r="AF45" s="84">
        <f t="shared" si="37"/>
        <v>576.92307692307691</v>
      </c>
      <c r="AG45" s="84">
        <f t="shared" si="37"/>
        <v>576.92307692307691</v>
      </c>
      <c r="AH45" s="84">
        <f t="shared" si="37"/>
        <v>576.92307692307691</v>
      </c>
      <c r="AI45" s="84">
        <f t="shared" si="37"/>
        <v>576.92307692307691</v>
      </c>
      <c r="AJ45" s="84">
        <f t="shared" si="37"/>
        <v>576.92307692307691</v>
      </c>
      <c r="AK45" s="84">
        <f t="shared" si="37"/>
        <v>576.92307692307691</v>
      </c>
      <c r="AL45" s="84">
        <f>(AL30*(15/12)/26)</f>
        <v>576.92307692307691</v>
      </c>
      <c r="AM45" s="129">
        <f t="shared" si="32"/>
        <v>14134.615384615377</v>
      </c>
      <c r="AN45" s="36">
        <f t="shared" si="27"/>
        <v>2000.0000000000002</v>
      </c>
      <c r="AO45" s="36">
        <f t="shared" si="28"/>
        <v>2000.0000000000002</v>
      </c>
      <c r="AP45" s="37">
        <f t="shared" si="29"/>
        <v>2000.0000000000002</v>
      </c>
      <c r="AQ45" s="11">
        <f t="shared" si="22"/>
        <v>0</v>
      </c>
    </row>
    <row r="46" spans="1:46" s="3" customFormat="1" ht="24" customHeight="1" x14ac:dyDescent="0.4">
      <c r="A46" s="16" t="s">
        <v>37</v>
      </c>
      <c r="B46" s="16"/>
      <c r="C46" s="138">
        <f>(C30*(30/12)/26)</f>
        <v>336.53846153846155</v>
      </c>
      <c r="D46" s="84">
        <f t="shared" si="30"/>
        <v>336.53846153846155</v>
      </c>
      <c r="E46" s="84">
        <f t="shared" si="30"/>
        <v>336.53846153846155</v>
      </c>
      <c r="F46" s="84">
        <f t="shared" si="30"/>
        <v>336.53846153846155</v>
      </c>
      <c r="G46" s="84">
        <f t="shared" si="30"/>
        <v>336.53846153846155</v>
      </c>
      <c r="H46" s="84">
        <f t="shared" si="30"/>
        <v>336.53846153846155</v>
      </c>
      <c r="I46" s="84">
        <f t="shared" si="30"/>
        <v>336.53846153846155</v>
      </c>
      <c r="J46" s="84">
        <f t="shared" si="30"/>
        <v>336.53846153846155</v>
      </c>
      <c r="K46" s="84">
        <f t="shared" si="30"/>
        <v>336.53846153846155</v>
      </c>
      <c r="L46" s="84">
        <f t="shared" si="30"/>
        <v>336.53846153846155</v>
      </c>
      <c r="M46" s="84">
        <f t="shared" si="30"/>
        <v>336.53846153846155</v>
      </c>
      <c r="N46" s="84">
        <f t="shared" si="30"/>
        <v>336.53846153846155</v>
      </c>
      <c r="O46" s="104">
        <f t="shared" ref="O46:AL46" si="38">(O30*(30/12)/26)</f>
        <v>865.38461538461536</v>
      </c>
      <c r="P46" s="84">
        <f t="shared" si="38"/>
        <v>865.38461538461536</v>
      </c>
      <c r="Q46" s="84">
        <f t="shared" si="38"/>
        <v>865.38461538461536</v>
      </c>
      <c r="R46" s="104">
        <f t="shared" si="38"/>
        <v>865.38461538461536</v>
      </c>
      <c r="S46" s="84">
        <f t="shared" si="38"/>
        <v>865.38461538461536</v>
      </c>
      <c r="T46" s="84">
        <f t="shared" si="38"/>
        <v>865.38461538461536</v>
      </c>
      <c r="U46" s="84">
        <f t="shared" si="38"/>
        <v>865.38461538461536</v>
      </c>
      <c r="V46" s="84">
        <f t="shared" si="38"/>
        <v>865.38461538461536</v>
      </c>
      <c r="W46" s="84">
        <f t="shared" si="38"/>
        <v>865.38461538461536</v>
      </c>
      <c r="X46" s="84">
        <f t="shared" si="38"/>
        <v>865.38461538461536</v>
      </c>
      <c r="Y46" s="84">
        <f t="shared" si="38"/>
        <v>865.38461538461536</v>
      </c>
      <c r="Z46" s="84">
        <f t="shared" si="38"/>
        <v>865.38461538461536</v>
      </c>
      <c r="AA46" s="84">
        <f t="shared" si="38"/>
        <v>1153.8461538461538</v>
      </c>
      <c r="AB46" s="84">
        <f t="shared" si="38"/>
        <v>1153.8461538461538</v>
      </c>
      <c r="AC46" s="84">
        <f t="shared" si="38"/>
        <v>1153.8461538461538</v>
      </c>
      <c r="AD46" s="84">
        <f t="shared" si="38"/>
        <v>1153.8461538461538</v>
      </c>
      <c r="AE46" s="84">
        <f t="shared" si="38"/>
        <v>1153.8461538461538</v>
      </c>
      <c r="AF46" s="84">
        <f t="shared" si="38"/>
        <v>1153.8461538461538</v>
      </c>
      <c r="AG46" s="84">
        <f t="shared" si="38"/>
        <v>1153.8461538461538</v>
      </c>
      <c r="AH46" s="84">
        <f t="shared" si="38"/>
        <v>1153.8461538461538</v>
      </c>
      <c r="AI46" s="84">
        <f t="shared" si="38"/>
        <v>1153.8461538461538</v>
      </c>
      <c r="AJ46" s="84">
        <f t="shared" si="38"/>
        <v>1153.8461538461538</v>
      </c>
      <c r="AK46" s="84">
        <f t="shared" si="38"/>
        <v>1153.8461538461538</v>
      </c>
      <c r="AL46" s="84">
        <f t="shared" si="38"/>
        <v>1153.8461538461538</v>
      </c>
      <c r="AM46" s="129">
        <f t="shared" si="32"/>
        <v>28269.230769230755</v>
      </c>
      <c r="AN46" s="40">
        <f>SUM(C45:N45)</f>
        <v>2019.2307692307688</v>
      </c>
      <c r="AO46" s="40">
        <f t="shared" si="28"/>
        <v>5192.3076923076924</v>
      </c>
      <c r="AP46" s="41">
        <f t="shared" si="29"/>
        <v>6923.0769230769247</v>
      </c>
      <c r="AQ46" s="11">
        <f t="shared" si="22"/>
        <v>0</v>
      </c>
    </row>
    <row r="47" spans="1:46" s="3" customFormat="1" ht="24" customHeight="1" x14ac:dyDescent="0.4">
      <c r="A47" s="16" t="s">
        <v>38</v>
      </c>
      <c r="B47" s="16"/>
      <c r="C47" s="138">
        <f>120+6.507</f>
        <v>126.50700000000001</v>
      </c>
      <c r="D47" s="84">
        <f t="shared" si="30"/>
        <v>126.50700000000001</v>
      </c>
      <c r="E47" s="84">
        <f t="shared" si="30"/>
        <v>126.50700000000001</v>
      </c>
      <c r="F47" s="84">
        <f t="shared" si="30"/>
        <v>126.50700000000001</v>
      </c>
      <c r="G47" s="84">
        <f t="shared" si="30"/>
        <v>126.50700000000001</v>
      </c>
      <c r="H47" s="84">
        <f t="shared" si="30"/>
        <v>126.50700000000001</v>
      </c>
      <c r="I47" s="84">
        <f t="shared" si="30"/>
        <v>126.50700000000001</v>
      </c>
      <c r="J47" s="84">
        <f t="shared" si="30"/>
        <v>126.50700000000001</v>
      </c>
      <c r="K47" s="84">
        <f t="shared" si="30"/>
        <v>126.50700000000001</v>
      </c>
      <c r="L47" s="84">
        <f t="shared" si="30"/>
        <v>126.50700000000001</v>
      </c>
      <c r="M47" s="84">
        <f t="shared" si="30"/>
        <v>126.50700000000001</v>
      </c>
      <c r="N47" s="84">
        <f t="shared" si="30"/>
        <v>126.50700000000001</v>
      </c>
      <c r="O47" s="104">
        <v>120</v>
      </c>
      <c r="P47" s="84">
        <v>120</v>
      </c>
      <c r="Q47" s="84">
        <v>120</v>
      </c>
      <c r="R47" s="104">
        <v>120</v>
      </c>
      <c r="S47" s="84">
        <v>120</v>
      </c>
      <c r="T47" s="84">
        <v>120</v>
      </c>
      <c r="U47" s="84">
        <v>120</v>
      </c>
      <c r="V47" s="84">
        <v>120</v>
      </c>
      <c r="W47" s="84">
        <v>120</v>
      </c>
      <c r="X47" s="84">
        <v>120</v>
      </c>
      <c r="Y47" s="84">
        <v>120</v>
      </c>
      <c r="Z47" s="84">
        <v>120</v>
      </c>
      <c r="AA47" s="84">
        <v>120</v>
      </c>
      <c r="AB47" s="84">
        <v>120</v>
      </c>
      <c r="AC47" s="84">
        <v>120</v>
      </c>
      <c r="AD47" s="84">
        <v>120</v>
      </c>
      <c r="AE47" s="84">
        <v>120</v>
      </c>
      <c r="AF47" s="84">
        <v>120</v>
      </c>
      <c r="AG47" s="84">
        <v>120</v>
      </c>
      <c r="AH47" s="84">
        <v>120</v>
      </c>
      <c r="AI47" s="84">
        <v>120</v>
      </c>
      <c r="AJ47" s="84">
        <v>120</v>
      </c>
      <c r="AK47" s="84">
        <v>120</v>
      </c>
      <c r="AL47" s="84">
        <v>120</v>
      </c>
      <c r="AM47" s="129">
        <f t="shared" si="32"/>
        <v>4398.0840000000007</v>
      </c>
      <c r="AN47" s="23">
        <f t="shared" si="27"/>
        <v>4038.4615384615377</v>
      </c>
      <c r="AO47" s="23">
        <f t="shared" si="28"/>
        <v>10384.615384615385</v>
      </c>
      <c r="AP47" s="42">
        <f t="shared" si="29"/>
        <v>13846.153846153849</v>
      </c>
      <c r="AQ47" s="11">
        <f t="shared" si="22"/>
        <v>0</v>
      </c>
    </row>
    <row r="48" spans="1:46" s="3" customFormat="1" ht="24" customHeight="1" x14ac:dyDescent="0.4">
      <c r="A48" s="16" t="s">
        <v>39</v>
      </c>
      <c r="B48" s="16"/>
      <c r="C48" s="138">
        <v>0</v>
      </c>
      <c r="D48" s="84">
        <f t="shared" si="30"/>
        <v>0</v>
      </c>
      <c r="E48" s="84">
        <f t="shared" si="30"/>
        <v>0</v>
      </c>
      <c r="F48" s="84">
        <f t="shared" si="30"/>
        <v>0</v>
      </c>
      <c r="G48" s="84">
        <f t="shared" si="30"/>
        <v>0</v>
      </c>
      <c r="H48" s="84">
        <f t="shared" si="30"/>
        <v>0</v>
      </c>
      <c r="I48" s="84">
        <f t="shared" si="30"/>
        <v>0</v>
      </c>
      <c r="J48" s="84">
        <f t="shared" si="30"/>
        <v>0</v>
      </c>
      <c r="K48" s="84">
        <f t="shared" si="30"/>
        <v>0</v>
      </c>
      <c r="L48" s="84">
        <f t="shared" si="30"/>
        <v>0</v>
      </c>
      <c r="M48" s="84">
        <f t="shared" si="30"/>
        <v>0</v>
      </c>
      <c r="N48" s="84">
        <f t="shared" si="30"/>
        <v>0</v>
      </c>
      <c r="O48" s="104">
        <v>1000</v>
      </c>
      <c r="P48" s="84">
        <v>0</v>
      </c>
      <c r="Q48" s="84">
        <v>0</v>
      </c>
      <c r="R48" s="104">
        <v>0</v>
      </c>
      <c r="S48" s="84">
        <v>0</v>
      </c>
      <c r="T48" s="84">
        <v>0</v>
      </c>
      <c r="U48" s="84">
        <v>0</v>
      </c>
      <c r="V48" s="84">
        <v>0</v>
      </c>
      <c r="W48" s="84">
        <v>1000</v>
      </c>
      <c r="X48" s="84">
        <v>0</v>
      </c>
      <c r="Y48" s="84">
        <v>0</v>
      </c>
      <c r="Z48" s="84">
        <v>0</v>
      </c>
      <c r="AA48" s="84">
        <v>1000</v>
      </c>
      <c r="AB48" s="84">
        <v>0</v>
      </c>
      <c r="AC48" s="84">
        <v>0</v>
      </c>
      <c r="AD48" s="84">
        <v>0</v>
      </c>
      <c r="AE48" s="84">
        <v>0</v>
      </c>
      <c r="AF48" s="84">
        <v>0</v>
      </c>
      <c r="AG48" s="84">
        <v>0</v>
      </c>
      <c r="AH48" s="84">
        <v>0</v>
      </c>
      <c r="AI48" s="84">
        <v>1000</v>
      </c>
      <c r="AJ48" s="84">
        <v>0</v>
      </c>
      <c r="AK48" s="84">
        <v>0</v>
      </c>
      <c r="AL48" s="84">
        <v>0</v>
      </c>
      <c r="AM48" s="129">
        <f t="shared" si="32"/>
        <v>4000</v>
      </c>
      <c r="AN48" s="36">
        <f t="shared" si="27"/>
        <v>1518.0840000000005</v>
      </c>
      <c r="AO48" s="36">
        <f t="shared" si="28"/>
        <v>1440</v>
      </c>
      <c r="AP48" s="37">
        <f t="shared" si="29"/>
        <v>1440</v>
      </c>
      <c r="AQ48" s="11">
        <f t="shared" si="22"/>
        <v>0</v>
      </c>
    </row>
    <row r="49" spans="1:47" s="3" customFormat="1" ht="24" customHeight="1" x14ac:dyDescent="0.4">
      <c r="A49" s="16" t="s">
        <v>40</v>
      </c>
      <c r="B49" s="16"/>
      <c r="C49" s="138">
        <v>25</v>
      </c>
      <c r="D49" s="84">
        <f t="shared" si="30"/>
        <v>25</v>
      </c>
      <c r="E49" s="84">
        <f t="shared" si="30"/>
        <v>25</v>
      </c>
      <c r="F49" s="84">
        <f t="shared" si="30"/>
        <v>25</v>
      </c>
      <c r="G49" s="84">
        <f t="shared" si="30"/>
        <v>25</v>
      </c>
      <c r="H49" s="84">
        <f t="shared" si="30"/>
        <v>25</v>
      </c>
      <c r="I49" s="84">
        <f t="shared" si="30"/>
        <v>25</v>
      </c>
      <c r="J49" s="84">
        <f t="shared" si="30"/>
        <v>25</v>
      </c>
      <c r="K49" s="84">
        <f t="shared" si="30"/>
        <v>25</v>
      </c>
      <c r="L49" s="84">
        <f t="shared" si="30"/>
        <v>25</v>
      </c>
      <c r="M49" s="84">
        <f t="shared" si="30"/>
        <v>25</v>
      </c>
      <c r="N49" s="84">
        <f t="shared" si="30"/>
        <v>25</v>
      </c>
      <c r="O49" s="104">
        <v>25</v>
      </c>
      <c r="P49" s="84">
        <v>25</v>
      </c>
      <c r="Q49" s="84">
        <v>25</v>
      </c>
      <c r="R49" s="104">
        <v>25</v>
      </c>
      <c r="S49" s="84">
        <v>25</v>
      </c>
      <c r="T49" s="84">
        <v>25</v>
      </c>
      <c r="U49" s="84">
        <v>25</v>
      </c>
      <c r="V49" s="84">
        <v>25</v>
      </c>
      <c r="W49" s="84">
        <v>25</v>
      </c>
      <c r="X49" s="84">
        <v>25</v>
      </c>
      <c r="Y49" s="84">
        <v>25</v>
      </c>
      <c r="Z49" s="84">
        <v>25</v>
      </c>
      <c r="AA49" s="84">
        <v>25</v>
      </c>
      <c r="AB49" s="84">
        <v>25</v>
      </c>
      <c r="AC49" s="84">
        <v>25</v>
      </c>
      <c r="AD49" s="84">
        <v>25</v>
      </c>
      <c r="AE49" s="84">
        <v>25</v>
      </c>
      <c r="AF49" s="84">
        <v>25</v>
      </c>
      <c r="AG49" s="84">
        <v>25</v>
      </c>
      <c r="AH49" s="84">
        <v>25</v>
      </c>
      <c r="AI49" s="84">
        <v>25</v>
      </c>
      <c r="AJ49" s="84">
        <v>25</v>
      </c>
      <c r="AK49" s="84">
        <v>25</v>
      </c>
      <c r="AL49" s="84">
        <v>25</v>
      </c>
      <c r="AM49" s="129">
        <f t="shared" si="32"/>
        <v>900</v>
      </c>
      <c r="AN49" s="36">
        <f t="shared" si="27"/>
        <v>0</v>
      </c>
      <c r="AO49" s="36">
        <f t="shared" si="28"/>
        <v>2000</v>
      </c>
      <c r="AP49" s="37">
        <f t="shared" si="29"/>
        <v>2000</v>
      </c>
      <c r="AQ49" s="11">
        <f t="shared" si="22"/>
        <v>0</v>
      </c>
    </row>
    <row r="50" spans="1:47" s="3" customFormat="1" ht="24" customHeight="1" x14ac:dyDescent="0.4">
      <c r="A50" s="16" t="s">
        <v>41</v>
      </c>
      <c r="B50" s="16"/>
      <c r="C50" s="138">
        <v>0</v>
      </c>
      <c r="D50" s="84">
        <f t="shared" si="30"/>
        <v>0</v>
      </c>
      <c r="E50" s="84">
        <f t="shared" si="30"/>
        <v>0</v>
      </c>
      <c r="F50" s="84">
        <f t="shared" si="30"/>
        <v>0</v>
      </c>
      <c r="G50" s="84">
        <f t="shared" si="30"/>
        <v>0</v>
      </c>
      <c r="H50" s="84">
        <f t="shared" si="30"/>
        <v>0</v>
      </c>
      <c r="I50" s="84">
        <f t="shared" si="30"/>
        <v>0</v>
      </c>
      <c r="J50" s="84">
        <f t="shared" si="30"/>
        <v>0</v>
      </c>
      <c r="K50" s="84">
        <f t="shared" si="30"/>
        <v>0</v>
      </c>
      <c r="L50" s="84">
        <f t="shared" si="30"/>
        <v>0</v>
      </c>
      <c r="M50" s="84">
        <f t="shared" si="30"/>
        <v>0</v>
      </c>
      <c r="N50" s="84">
        <f t="shared" si="30"/>
        <v>0</v>
      </c>
      <c r="O50" s="104">
        <v>0</v>
      </c>
      <c r="P50" s="84">
        <v>0</v>
      </c>
      <c r="Q50" s="84">
        <v>0</v>
      </c>
      <c r="R50" s="104">
        <v>0</v>
      </c>
      <c r="S50" s="84">
        <v>0</v>
      </c>
      <c r="T50" s="84">
        <v>0</v>
      </c>
      <c r="U50" s="84">
        <v>0</v>
      </c>
      <c r="V50" s="84">
        <v>0</v>
      </c>
      <c r="W50" s="84">
        <v>0</v>
      </c>
      <c r="X50" s="84">
        <v>0</v>
      </c>
      <c r="Y50" s="84">
        <v>0</v>
      </c>
      <c r="Z50" s="84">
        <v>0</v>
      </c>
      <c r="AA50" s="84">
        <v>0</v>
      </c>
      <c r="AB50" s="84">
        <v>0</v>
      </c>
      <c r="AC50" s="84">
        <v>0</v>
      </c>
      <c r="AD50" s="84">
        <v>0</v>
      </c>
      <c r="AE50" s="84">
        <v>0</v>
      </c>
      <c r="AF50" s="84">
        <v>0</v>
      </c>
      <c r="AG50" s="84">
        <v>0</v>
      </c>
      <c r="AH50" s="84">
        <v>0</v>
      </c>
      <c r="AI50" s="84">
        <v>0</v>
      </c>
      <c r="AJ50" s="84">
        <v>0</v>
      </c>
      <c r="AK50" s="84">
        <v>0</v>
      </c>
      <c r="AL50" s="84">
        <v>0</v>
      </c>
      <c r="AM50" s="129">
        <f t="shared" si="32"/>
        <v>0</v>
      </c>
      <c r="AN50" s="38">
        <f t="shared" si="27"/>
        <v>300</v>
      </c>
      <c r="AO50" s="38">
        <f t="shared" si="28"/>
        <v>300</v>
      </c>
      <c r="AP50" s="39">
        <f t="shared" si="29"/>
        <v>300</v>
      </c>
      <c r="AQ50" s="11">
        <f t="shared" si="22"/>
        <v>0</v>
      </c>
    </row>
    <row r="51" spans="1:47" s="3" customFormat="1" ht="24" customHeight="1" x14ac:dyDescent="0.4">
      <c r="A51" s="16" t="s">
        <v>42</v>
      </c>
      <c r="B51" s="16"/>
      <c r="C51" s="138">
        <f>(4*(50+50+10+10))/12</f>
        <v>40</v>
      </c>
      <c r="D51" s="84">
        <f t="shared" si="30"/>
        <v>40</v>
      </c>
      <c r="E51" s="84">
        <f t="shared" si="30"/>
        <v>40</v>
      </c>
      <c r="F51" s="84">
        <f t="shared" si="30"/>
        <v>40</v>
      </c>
      <c r="G51" s="84">
        <f t="shared" si="30"/>
        <v>40</v>
      </c>
      <c r="H51" s="84">
        <f t="shared" si="30"/>
        <v>40</v>
      </c>
      <c r="I51" s="84">
        <f t="shared" si="30"/>
        <v>40</v>
      </c>
      <c r="J51" s="84">
        <f t="shared" si="30"/>
        <v>40</v>
      </c>
      <c r="K51" s="84">
        <f t="shared" si="30"/>
        <v>40</v>
      </c>
      <c r="L51" s="84">
        <f t="shared" si="30"/>
        <v>40</v>
      </c>
      <c r="M51" s="84">
        <f t="shared" si="30"/>
        <v>40</v>
      </c>
      <c r="N51" s="84">
        <f t="shared" si="30"/>
        <v>40</v>
      </c>
      <c r="O51" s="104">
        <f t="shared" ref="O51:AL51" si="39">(4*(50+50+10+10))/12</f>
        <v>40</v>
      </c>
      <c r="P51" s="84">
        <f t="shared" si="39"/>
        <v>40</v>
      </c>
      <c r="Q51" s="84">
        <f t="shared" si="39"/>
        <v>40</v>
      </c>
      <c r="R51" s="104">
        <f t="shared" si="39"/>
        <v>40</v>
      </c>
      <c r="S51" s="84">
        <f t="shared" si="39"/>
        <v>40</v>
      </c>
      <c r="T51" s="84">
        <f t="shared" si="39"/>
        <v>40</v>
      </c>
      <c r="U51" s="84">
        <f t="shared" si="39"/>
        <v>40</v>
      </c>
      <c r="V51" s="84">
        <f t="shared" si="39"/>
        <v>40</v>
      </c>
      <c r="W51" s="84">
        <f t="shared" si="39"/>
        <v>40</v>
      </c>
      <c r="X51" s="84">
        <f t="shared" si="39"/>
        <v>40</v>
      </c>
      <c r="Y51" s="84">
        <f t="shared" si="39"/>
        <v>40</v>
      </c>
      <c r="Z51" s="84">
        <f t="shared" si="39"/>
        <v>40</v>
      </c>
      <c r="AA51" s="84">
        <f t="shared" si="39"/>
        <v>40</v>
      </c>
      <c r="AB51" s="84">
        <f t="shared" si="39"/>
        <v>40</v>
      </c>
      <c r="AC51" s="84">
        <f t="shared" si="39"/>
        <v>40</v>
      </c>
      <c r="AD51" s="84">
        <f t="shared" si="39"/>
        <v>40</v>
      </c>
      <c r="AE51" s="84">
        <f t="shared" si="39"/>
        <v>40</v>
      </c>
      <c r="AF51" s="84">
        <f t="shared" si="39"/>
        <v>40</v>
      </c>
      <c r="AG51" s="84">
        <f t="shared" si="39"/>
        <v>40</v>
      </c>
      <c r="AH51" s="84">
        <f t="shared" si="39"/>
        <v>40</v>
      </c>
      <c r="AI51" s="84">
        <f t="shared" si="39"/>
        <v>40</v>
      </c>
      <c r="AJ51" s="84">
        <f t="shared" si="39"/>
        <v>40</v>
      </c>
      <c r="AK51" s="84">
        <f t="shared" si="39"/>
        <v>40</v>
      </c>
      <c r="AL51" s="84">
        <f t="shared" si="39"/>
        <v>40</v>
      </c>
      <c r="AM51" s="129">
        <f t="shared" si="32"/>
        <v>1440</v>
      </c>
      <c r="AN51" s="38">
        <f t="shared" ref="AN51:AN56" si="40">SUM(C50:N50)</f>
        <v>0</v>
      </c>
      <c r="AO51" s="38">
        <f t="shared" ref="AO51:AO56" si="41">SUM(O50:Z50)</f>
        <v>0</v>
      </c>
      <c r="AP51" s="39">
        <f t="shared" ref="AP51:AP56" si="42">SUM(AA50:AL50)</f>
        <v>0</v>
      </c>
      <c r="AQ51" s="11">
        <f t="shared" si="22"/>
        <v>0</v>
      </c>
    </row>
    <row r="52" spans="1:47" s="3" customFormat="1" ht="24" customHeight="1" x14ac:dyDescent="0.4">
      <c r="A52" s="16" t="s">
        <v>43</v>
      </c>
      <c r="B52" s="16"/>
      <c r="C52" s="138">
        <f>6+5+(C20*1.5%)</f>
        <v>38</v>
      </c>
      <c r="D52" s="84">
        <f t="shared" si="30"/>
        <v>38</v>
      </c>
      <c r="E52" s="84">
        <f t="shared" si="30"/>
        <v>38</v>
      </c>
      <c r="F52" s="84">
        <f t="shared" si="30"/>
        <v>38</v>
      </c>
      <c r="G52" s="84">
        <f t="shared" si="30"/>
        <v>38</v>
      </c>
      <c r="H52" s="84">
        <f t="shared" si="30"/>
        <v>38</v>
      </c>
      <c r="I52" s="84">
        <f t="shared" si="30"/>
        <v>38</v>
      </c>
      <c r="J52" s="84">
        <f t="shared" si="30"/>
        <v>38</v>
      </c>
      <c r="K52" s="84">
        <f t="shared" si="30"/>
        <v>38</v>
      </c>
      <c r="L52" s="84">
        <f t="shared" si="30"/>
        <v>38</v>
      </c>
      <c r="M52" s="84">
        <f t="shared" si="30"/>
        <v>38</v>
      </c>
      <c r="N52" s="84">
        <f t="shared" si="30"/>
        <v>38</v>
      </c>
      <c r="O52" s="104">
        <f t="shared" ref="O52:AL52" si="43">6+5+(O20*1.5%)</f>
        <v>11</v>
      </c>
      <c r="P52" s="84">
        <f t="shared" si="43"/>
        <v>1353.5</v>
      </c>
      <c r="Q52" s="84">
        <f t="shared" si="43"/>
        <v>1203.5</v>
      </c>
      <c r="R52" s="104">
        <f t="shared" si="43"/>
        <v>1473.5</v>
      </c>
      <c r="S52" s="84">
        <f t="shared" si="43"/>
        <v>11</v>
      </c>
      <c r="T52" s="84">
        <f t="shared" si="43"/>
        <v>11</v>
      </c>
      <c r="U52" s="84">
        <f t="shared" si="43"/>
        <v>2373.5</v>
      </c>
      <c r="V52" s="84">
        <f t="shared" si="43"/>
        <v>2621</v>
      </c>
      <c r="W52" s="84">
        <f t="shared" si="43"/>
        <v>2261</v>
      </c>
      <c r="X52" s="84">
        <f t="shared" si="43"/>
        <v>11</v>
      </c>
      <c r="Y52" s="84">
        <f t="shared" si="43"/>
        <v>11</v>
      </c>
      <c r="Z52" s="84">
        <f t="shared" si="43"/>
        <v>11</v>
      </c>
      <c r="AA52" s="84">
        <f t="shared" si="43"/>
        <v>11</v>
      </c>
      <c r="AB52" s="84">
        <f t="shared" si="43"/>
        <v>2141</v>
      </c>
      <c r="AC52" s="84">
        <f t="shared" si="43"/>
        <v>2058.5</v>
      </c>
      <c r="AD52" s="84">
        <f t="shared" si="43"/>
        <v>2621</v>
      </c>
      <c r="AE52" s="84">
        <f t="shared" si="43"/>
        <v>371</v>
      </c>
      <c r="AF52" s="84">
        <f t="shared" si="43"/>
        <v>11</v>
      </c>
      <c r="AG52" s="84">
        <f t="shared" si="43"/>
        <v>2598.5</v>
      </c>
      <c r="AH52" s="84">
        <f t="shared" si="43"/>
        <v>2621</v>
      </c>
      <c r="AI52" s="84">
        <f t="shared" si="43"/>
        <v>2621</v>
      </c>
      <c r="AJ52" s="84">
        <f t="shared" si="43"/>
        <v>11</v>
      </c>
      <c r="AK52" s="84">
        <f t="shared" si="43"/>
        <v>11</v>
      </c>
      <c r="AL52" s="84">
        <f t="shared" si="43"/>
        <v>11</v>
      </c>
      <c r="AM52" s="129">
        <f>SUM(C52:AL52)</f>
        <v>26895</v>
      </c>
      <c r="AN52" s="36">
        <f>SUM(C51:N51)</f>
        <v>480</v>
      </c>
      <c r="AO52" s="36">
        <f t="shared" si="41"/>
        <v>480</v>
      </c>
      <c r="AP52" s="37">
        <f t="shared" si="42"/>
        <v>480</v>
      </c>
      <c r="AQ52" s="11">
        <f t="shared" si="22"/>
        <v>0</v>
      </c>
    </row>
    <row r="53" spans="1:47" s="3" customFormat="1" ht="24" customHeight="1" x14ac:dyDescent="0.4">
      <c r="A53" s="16" t="s">
        <v>44</v>
      </c>
      <c r="B53" s="16"/>
      <c r="C53" s="138">
        <v>0</v>
      </c>
      <c r="D53" s="84">
        <f t="shared" ref="D53:N58" si="44">C53</f>
        <v>0</v>
      </c>
      <c r="E53" s="84">
        <f t="shared" si="44"/>
        <v>0</v>
      </c>
      <c r="F53" s="84">
        <f t="shared" si="44"/>
        <v>0</v>
      </c>
      <c r="G53" s="84">
        <f t="shared" si="44"/>
        <v>0</v>
      </c>
      <c r="H53" s="84">
        <f t="shared" si="44"/>
        <v>0</v>
      </c>
      <c r="I53" s="84">
        <f t="shared" si="44"/>
        <v>0</v>
      </c>
      <c r="J53" s="84">
        <f t="shared" si="44"/>
        <v>0</v>
      </c>
      <c r="K53" s="84">
        <f t="shared" si="44"/>
        <v>0</v>
      </c>
      <c r="L53" s="84">
        <f t="shared" si="44"/>
        <v>0</v>
      </c>
      <c r="M53" s="84">
        <f t="shared" si="44"/>
        <v>0</v>
      </c>
      <c r="N53" s="84">
        <f t="shared" si="44"/>
        <v>0</v>
      </c>
      <c r="O53" s="104">
        <v>0</v>
      </c>
      <c r="P53" s="84">
        <v>0</v>
      </c>
      <c r="Q53" s="84">
        <v>0</v>
      </c>
      <c r="R53" s="104">
        <v>0</v>
      </c>
      <c r="S53" s="84">
        <v>0</v>
      </c>
      <c r="T53" s="84">
        <v>0</v>
      </c>
      <c r="U53" s="84">
        <v>0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</v>
      </c>
      <c r="AK53" s="84">
        <v>0</v>
      </c>
      <c r="AL53" s="84">
        <v>0</v>
      </c>
      <c r="AM53" s="129">
        <f t="shared" si="32"/>
        <v>0</v>
      </c>
      <c r="AN53" s="38">
        <f t="shared" si="40"/>
        <v>456</v>
      </c>
      <c r="AO53" s="38">
        <f t="shared" si="41"/>
        <v>11352</v>
      </c>
      <c r="AP53" s="39">
        <f t="shared" si="42"/>
        <v>15087</v>
      </c>
      <c r="AQ53" s="11">
        <f t="shared" si="22"/>
        <v>0</v>
      </c>
      <c r="AS53" s="11">
        <f>AN36+AN37+AN39+AN40+AN42+AN43+AN45+AN47+AN48+AN50+AN52+AN55+AN56+AN58</f>
        <v>44636.545538461542</v>
      </c>
      <c r="AT53" s="11">
        <f>AO36+AO37+AO39+AO40+AO42+AO43+AO45+AO47+AO48+AO49+AO50+AO52+AO55+AO56+AO58</f>
        <v>67204.615384615376</v>
      </c>
      <c r="AU53" s="11">
        <f>AP36+AP37+AP39+AP40+AP42+AP43+AP45+AP47+AP48+AP49+AP50+AP52+AP55+AP56+AP58</f>
        <v>91966.153846153844</v>
      </c>
    </row>
    <row r="54" spans="1:47" s="3" customFormat="1" ht="24" customHeight="1" x14ac:dyDescent="0.4">
      <c r="A54" s="16" t="s">
        <v>45</v>
      </c>
      <c r="B54" s="16"/>
      <c r="C54" s="138">
        <v>25</v>
      </c>
      <c r="D54" s="84">
        <f t="shared" si="44"/>
        <v>25</v>
      </c>
      <c r="E54" s="84">
        <f t="shared" si="44"/>
        <v>25</v>
      </c>
      <c r="F54" s="84">
        <f t="shared" si="44"/>
        <v>25</v>
      </c>
      <c r="G54" s="84">
        <f t="shared" si="44"/>
        <v>25</v>
      </c>
      <c r="H54" s="84">
        <f t="shared" si="44"/>
        <v>25</v>
      </c>
      <c r="I54" s="84">
        <f t="shared" si="44"/>
        <v>25</v>
      </c>
      <c r="J54" s="84">
        <f t="shared" si="44"/>
        <v>25</v>
      </c>
      <c r="K54" s="84">
        <f t="shared" si="44"/>
        <v>25</v>
      </c>
      <c r="L54" s="84">
        <f t="shared" si="44"/>
        <v>25</v>
      </c>
      <c r="M54" s="84">
        <f t="shared" si="44"/>
        <v>25</v>
      </c>
      <c r="N54" s="84">
        <f t="shared" si="44"/>
        <v>25</v>
      </c>
      <c r="O54" s="104">
        <v>25</v>
      </c>
      <c r="P54" s="84">
        <v>25</v>
      </c>
      <c r="Q54" s="84">
        <v>25</v>
      </c>
      <c r="R54" s="104">
        <v>25</v>
      </c>
      <c r="S54" s="84">
        <v>25</v>
      </c>
      <c r="T54" s="84">
        <v>25</v>
      </c>
      <c r="U54" s="84">
        <v>25</v>
      </c>
      <c r="V54" s="84">
        <v>25</v>
      </c>
      <c r="W54" s="84">
        <v>25</v>
      </c>
      <c r="X54" s="84">
        <v>25</v>
      </c>
      <c r="Y54" s="84">
        <v>25</v>
      </c>
      <c r="Z54" s="84">
        <v>25</v>
      </c>
      <c r="AA54" s="84">
        <v>25</v>
      </c>
      <c r="AB54" s="84">
        <v>25</v>
      </c>
      <c r="AC54" s="84">
        <v>25</v>
      </c>
      <c r="AD54" s="84">
        <v>25</v>
      </c>
      <c r="AE54" s="84">
        <v>25</v>
      </c>
      <c r="AF54" s="84">
        <v>25</v>
      </c>
      <c r="AG54" s="84">
        <v>25</v>
      </c>
      <c r="AH54" s="84">
        <v>25</v>
      </c>
      <c r="AI54" s="84">
        <v>25</v>
      </c>
      <c r="AJ54" s="84">
        <v>25</v>
      </c>
      <c r="AK54" s="84">
        <v>25</v>
      </c>
      <c r="AL54" s="84">
        <v>25</v>
      </c>
      <c r="AM54" s="129">
        <f t="shared" si="32"/>
        <v>900</v>
      </c>
      <c r="AN54" s="38">
        <f t="shared" si="40"/>
        <v>0</v>
      </c>
      <c r="AO54" s="38">
        <f t="shared" si="41"/>
        <v>0</v>
      </c>
      <c r="AP54" s="39">
        <f t="shared" si="42"/>
        <v>0</v>
      </c>
      <c r="AQ54" s="11">
        <f t="shared" si="22"/>
        <v>0</v>
      </c>
    </row>
    <row r="55" spans="1:47" s="3" customFormat="1" ht="24" customHeight="1" x14ac:dyDescent="0.4">
      <c r="A55" s="16" t="s">
        <v>46</v>
      </c>
      <c r="B55" s="16"/>
      <c r="C55" s="138">
        <v>25</v>
      </c>
      <c r="D55" s="84">
        <f t="shared" si="44"/>
        <v>25</v>
      </c>
      <c r="E55" s="84">
        <f t="shared" si="44"/>
        <v>25</v>
      </c>
      <c r="F55" s="84">
        <f t="shared" si="44"/>
        <v>25</v>
      </c>
      <c r="G55" s="84">
        <f t="shared" si="44"/>
        <v>25</v>
      </c>
      <c r="H55" s="84">
        <f t="shared" si="44"/>
        <v>25</v>
      </c>
      <c r="I55" s="84">
        <f t="shared" si="44"/>
        <v>25</v>
      </c>
      <c r="J55" s="84">
        <f t="shared" si="44"/>
        <v>25</v>
      </c>
      <c r="K55" s="84">
        <f t="shared" si="44"/>
        <v>25</v>
      </c>
      <c r="L55" s="84">
        <f t="shared" si="44"/>
        <v>25</v>
      </c>
      <c r="M55" s="84">
        <f t="shared" si="44"/>
        <v>25</v>
      </c>
      <c r="N55" s="84">
        <f t="shared" si="44"/>
        <v>25</v>
      </c>
      <c r="O55" s="104">
        <v>25</v>
      </c>
      <c r="P55" s="84">
        <v>25</v>
      </c>
      <c r="Q55" s="84">
        <v>25</v>
      </c>
      <c r="R55" s="104">
        <v>25</v>
      </c>
      <c r="S55" s="84">
        <v>25</v>
      </c>
      <c r="T55" s="84">
        <v>25</v>
      </c>
      <c r="U55" s="84">
        <v>25</v>
      </c>
      <c r="V55" s="84">
        <v>25</v>
      </c>
      <c r="W55" s="84">
        <v>25</v>
      </c>
      <c r="X55" s="84">
        <v>25</v>
      </c>
      <c r="Y55" s="84">
        <v>25</v>
      </c>
      <c r="Z55" s="84">
        <v>25</v>
      </c>
      <c r="AA55" s="84">
        <v>25</v>
      </c>
      <c r="AB55" s="84">
        <v>25</v>
      </c>
      <c r="AC55" s="84">
        <v>25</v>
      </c>
      <c r="AD55" s="84">
        <v>25</v>
      </c>
      <c r="AE55" s="84">
        <v>25</v>
      </c>
      <c r="AF55" s="84">
        <v>25</v>
      </c>
      <c r="AG55" s="84">
        <v>25</v>
      </c>
      <c r="AH55" s="84">
        <v>25</v>
      </c>
      <c r="AI55" s="84">
        <v>25</v>
      </c>
      <c r="AJ55" s="84">
        <v>25</v>
      </c>
      <c r="AK55" s="84">
        <v>25</v>
      </c>
      <c r="AL55" s="84">
        <v>25</v>
      </c>
      <c r="AM55" s="130">
        <f t="shared" si="32"/>
        <v>900</v>
      </c>
      <c r="AN55" s="38">
        <f t="shared" si="40"/>
        <v>300</v>
      </c>
      <c r="AO55" s="38">
        <f t="shared" si="41"/>
        <v>300</v>
      </c>
      <c r="AP55" s="39">
        <f t="shared" si="42"/>
        <v>300</v>
      </c>
      <c r="AQ55" s="11">
        <f t="shared" si="22"/>
        <v>0</v>
      </c>
      <c r="AS55" s="628" t="s">
        <v>47</v>
      </c>
      <c r="AT55" s="628"/>
      <c r="AU55" s="628"/>
    </row>
    <row r="56" spans="1:47" s="3" customFormat="1" ht="24" customHeight="1" x14ac:dyDescent="0.4">
      <c r="A56" s="16" t="s">
        <v>48</v>
      </c>
      <c r="B56" s="16"/>
      <c r="C56" s="138">
        <v>25</v>
      </c>
      <c r="D56" s="84">
        <f t="shared" si="44"/>
        <v>25</v>
      </c>
      <c r="E56" s="84">
        <f t="shared" si="44"/>
        <v>25</v>
      </c>
      <c r="F56" s="84">
        <f t="shared" si="44"/>
        <v>25</v>
      </c>
      <c r="G56" s="84">
        <f t="shared" si="44"/>
        <v>25</v>
      </c>
      <c r="H56" s="84">
        <f t="shared" si="44"/>
        <v>25</v>
      </c>
      <c r="I56" s="84">
        <f t="shared" si="44"/>
        <v>25</v>
      </c>
      <c r="J56" s="84">
        <f t="shared" si="44"/>
        <v>25</v>
      </c>
      <c r="K56" s="84">
        <f t="shared" si="44"/>
        <v>25</v>
      </c>
      <c r="L56" s="84">
        <f t="shared" si="44"/>
        <v>25</v>
      </c>
      <c r="M56" s="84">
        <f t="shared" si="44"/>
        <v>25</v>
      </c>
      <c r="N56" s="84">
        <f t="shared" si="44"/>
        <v>25</v>
      </c>
      <c r="O56" s="104">
        <v>25</v>
      </c>
      <c r="P56" s="84">
        <v>25</v>
      </c>
      <c r="Q56" s="84">
        <v>25</v>
      </c>
      <c r="R56" s="104">
        <v>25</v>
      </c>
      <c r="S56" s="84">
        <v>25</v>
      </c>
      <c r="T56" s="84">
        <v>25</v>
      </c>
      <c r="U56" s="84">
        <v>25</v>
      </c>
      <c r="V56" s="84">
        <v>25</v>
      </c>
      <c r="W56" s="84">
        <v>25</v>
      </c>
      <c r="X56" s="84">
        <v>25</v>
      </c>
      <c r="Y56" s="84">
        <v>25</v>
      </c>
      <c r="Z56" s="84">
        <v>25</v>
      </c>
      <c r="AA56" s="84">
        <v>25</v>
      </c>
      <c r="AB56" s="84">
        <v>25</v>
      </c>
      <c r="AC56" s="84">
        <v>25</v>
      </c>
      <c r="AD56" s="84">
        <v>25</v>
      </c>
      <c r="AE56" s="84">
        <v>25</v>
      </c>
      <c r="AF56" s="84">
        <v>25</v>
      </c>
      <c r="AG56" s="84">
        <v>25</v>
      </c>
      <c r="AH56" s="84">
        <v>25</v>
      </c>
      <c r="AI56" s="84">
        <v>25</v>
      </c>
      <c r="AJ56" s="84">
        <v>25</v>
      </c>
      <c r="AK56" s="84">
        <v>25</v>
      </c>
      <c r="AL56" s="84">
        <v>25</v>
      </c>
      <c r="AM56" s="130">
        <f t="shared" si="32"/>
        <v>900</v>
      </c>
      <c r="AN56" s="38">
        <f t="shared" si="40"/>
        <v>300</v>
      </c>
      <c r="AO56" s="38">
        <f t="shared" si="41"/>
        <v>300</v>
      </c>
      <c r="AP56" s="39">
        <f t="shared" si="42"/>
        <v>300</v>
      </c>
      <c r="AQ56" s="11">
        <f>AN58+AO58+AP58-AM56</f>
        <v>0</v>
      </c>
      <c r="AS56" s="43" t="s">
        <v>49</v>
      </c>
      <c r="AT56" s="43" t="s">
        <v>49</v>
      </c>
      <c r="AU56" s="43" t="s">
        <v>49</v>
      </c>
    </row>
    <row r="57" spans="1:47" s="3" customFormat="1" ht="24" customHeight="1" x14ac:dyDescent="0.4">
      <c r="A57" s="24" t="s">
        <v>50</v>
      </c>
      <c r="B57" s="16"/>
      <c r="C57" s="138">
        <v>0</v>
      </c>
      <c r="D57" s="84">
        <f t="shared" si="44"/>
        <v>0</v>
      </c>
      <c r="E57" s="84">
        <f t="shared" si="44"/>
        <v>0</v>
      </c>
      <c r="F57" s="84">
        <f t="shared" si="44"/>
        <v>0</v>
      </c>
      <c r="G57" s="84">
        <f t="shared" si="44"/>
        <v>0</v>
      </c>
      <c r="H57" s="84">
        <f t="shared" si="44"/>
        <v>0</v>
      </c>
      <c r="I57" s="84">
        <f t="shared" si="44"/>
        <v>0</v>
      </c>
      <c r="J57" s="84">
        <f t="shared" si="44"/>
        <v>0</v>
      </c>
      <c r="K57" s="84">
        <f t="shared" si="44"/>
        <v>0</v>
      </c>
      <c r="L57" s="84">
        <f t="shared" si="44"/>
        <v>0</v>
      </c>
      <c r="M57" s="84">
        <f t="shared" si="44"/>
        <v>0</v>
      </c>
      <c r="N57" s="84">
        <f t="shared" si="44"/>
        <v>0</v>
      </c>
      <c r="O57" s="104">
        <v>0</v>
      </c>
      <c r="P57" s="84">
        <v>0</v>
      </c>
      <c r="Q57" s="84">
        <v>0</v>
      </c>
      <c r="R57" s="104">
        <v>0</v>
      </c>
      <c r="S57" s="84">
        <v>0</v>
      </c>
      <c r="T57" s="84">
        <v>0</v>
      </c>
      <c r="U57" s="84">
        <v>0</v>
      </c>
      <c r="V57" s="84">
        <v>0</v>
      </c>
      <c r="W57" s="84">
        <v>0</v>
      </c>
      <c r="X57" s="84">
        <v>0</v>
      </c>
      <c r="Y57" s="84">
        <v>0</v>
      </c>
      <c r="Z57" s="84">
        <v>0</v>
      </c>
      <c r="AA57" s="84">
        <v>0</v>
      </c>
      <c r="AB57" s="84">
        <v>0</v>
      </c>
      <c r="AC57" s="84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0</v>
      </c>
      <c r="AJ57" s="84">
        <v>0</v>
      </c>
      <c r="AK57" s="84">
        <v>0</v>
      </c>
      <c r="AL57" s="84">
        <f>AU89</f>
        <v>3874.6376923076928</v>
      </c>
      <c r="AM57" s="130">
        <f t="shared" si="32"/>
        <v>3874.6376923076928</v>
      </c>
      <c r="AN57" s="38">
        <f>SUM(C57:N57)</f>
        <v>0</v>
      </c>
      <c r="AO57" s="38">
        <f>SUM(O57:Z57)</f>
        <v>0</v>
      </c>
      <c r="AP57" s="39">
        <f>SUM(AA57:AL57)</f>
        <v>3874.6376923076928</v>
      </c>
      <c r="AQ57" s="11">
        <f>AN59+AO59+AP59-AM57</f>
        <v>-3874.6376923076928</v>
      </c>
      <c r="AS57" s="43"/>
      <c r="AT57" s="43"/>
      <c r="AU57" s="43"/>
    </row>
    <row r="58" spans="1:47" s="3" customFormat="1" ht="24" customHeight="1" x14ac:dyDescent="0.4">
      <c r="A58" s="16" t="s">
        <v>51</v>
      </c>
      <c r="B58" s="16"/>
      <c r="C58" s="138">
        <f>(0)*11%</f>
        <v>0</v>
      </c>
      <c r="D58" s="84">
        <f t="shared" si="44"/>
        <v>0</v>
      </c>
      <c r="E58" s="84">
        <f t="shared" si="44"/>
        <v>0</v>
      </c>
      <c r="F58" s="84">
        <f t="shared" si="44"/>
        <v>0</v>
      </c>
      <c r="G58" s="84">
        <f t="shared" si="44"/>
        <v>0</v>
      </c>
      <c r="H58" s="84">
        <f t="shared" si="44"/>
        <v>0</v>
      </c>
      <c r="I58" s="84">
        <f t="shared" si="44"/>
        <v>0</v>
      </c>
      <c r="J58" s="84">
        <f t="shared" si="44"/>
        <v>0</v>
      </c>
      <c r="K58" s="84">
        <f t="shared" si="44"/>
        <v>0</v>
      </c>
      <c r="L58" s="84">
        <f t="shared" si="44"/>
        <v>0</v>
      </c>
      <c r="M58" s="84">
        <f t="shared" si="44"/>
        <v>0</v>
      </c>
      <c r="N58" s="84">
        <f t="shared" si="44"/>
        <v>0</v>
      </c>
      <c r="O58" s="104">
        <f>N58</f>
        <v>0</v>
      </c>
      <c r="P58" s="84">
        <f t="shared" ref="P58:AL58" si="45">O58</f>
        <v>0</v>
      </c>
      <c r="Q58" s="84">
        <f t="shared" si="45"/>
        <v>0</v>
      </c>
      <c r="R58" s="104">
        <f t="shared" si="45"/>
        <v>0</v>
      </c>
      <c r="S58" s="84">
        <f t="shared" si="45"/>
        <v>0</v>
      </c>
      <c r="T58" s="84">
        <f t="shared" si="45"/>
        <v>0</v>
      </c>
      <c r="U58" s="84">
        <f t="shared" si="45"/>
        <v>0</v>
      </c>
      <c r="V58" s="84">
        <f t="shared" si="45"/>
        <v>0</v>
      </c>
      <c r="W58" s="84">
        <f t="shared" si="45"/>
        <v>0</v>
      </c>
      <c r="X58" s="84">
        <f t="shared" si="45"/>
        <v>0</v>
      </c>
      <c r="Y58" s="84">
        <f t="shared" si="45"/>
        <v>0</v>
      </c>
      <c r="Z58" s="84">
        <f t="shared" si="45"/>
        <v>0</v>
      </c>
      <c r="AA58" s="84">
        <f t="shared" si="45"/>
        <v>0</v>
      </c>
      <c r="AB58" s="84">
        <f t="shared" si="45"/>
        <v>0</v>
      </c>
      <c r="AC58" s="84">
        <f t="shared" si="45"/>
        <v>0</v>
      </c>
      <c r="AD58" s="84">
        <f t="shared" si="45"/>
        <v>0</v>
      </c>
      <c r="AE58" s="84">
        <f t="shared" si="45"/>
        <v>0</v>
      </c>
      <c r="AF58" s="84">
        <f t="shared" si="45"/>
        <v>0</v>
      </c>
      <c r="AG58" s="84">
        <f t="shared" si="45"/>
        <v>0</v>
      </c>
      <c r="AH58" s="84">
        <f t="shared" si="45"/>
        <v>0</v>
      </c>
      <c r="AI58" s="84">
        <f t="shared" si="45"/>
        <v>0</v>
      </c>
      <c r="AJ58" s="84">
        <f t="shared" si="45"/>
        <v>0</v>
      </c>
      <c r="AK58" s="84">
        <f t="shared" si="45"/>
        <v>0</v>
      </c>
      <c r="AL58" s="84">
        <f t="shared" si="45"/>
        <v>0</v>
      </c>
      <c r="AM58" s="130">
        <f t="shared" si="32"/>
        <v>0</v>
      </c>
      <c r="AN58" s="38">
        <f>SUM(C56:N56)</f>
        <v>300</v>
      </c>
      <c r="AO58" s="38">
        <f>SUM(O56:Z56)</f>
        <v>300</v>
      </c>
      <c r="AP58" s="39">
        <f>SUM(AA56:AL56)</f>
        <v>300</v>
      </c>
      <c r="AQ58" s="11">
        <f t="shared" si="22"/>
        <v>0</v>
      </c>
      <c r="AS58" s="44" t="s">
        <v>14</v>
      </c>
      <c r="AT58" s="44" t="s">
        <v>15</v>
      </c>
      <c r="AU58" s="44" t="s">
        <v>16</v>
      </c>
    </row>
    <row r="59" spans="1:47" s="3" customFormat="1" ht="24" customHeight="1" x14ac:dyDescent="0.4">
      <c r="A59" s="45" t="s">
        <v>52</v>
      </c>
      <c r="B59" s="45"/>
      <c r="C59" s="89">
        <f>SUM(C30:C58)</f>
        <v>5125.981358974359</v>
      </c>
      <c r="D59" s="89">
        <f t="shared" ref="D59:AL59" si="46">SUM(D30:D58)</f>
        <v>5125.981358974359</v>
      </c>
      <c r="E59" s="89">
        <f t="shared" si="46"/>
        <v>14125.981358974357</v>
      </c>
      <c r="F59" s="89">
        <f t="shared" si="46"/>
        <v>5125.981358974359</v>
      </c>
      <c r="G59" s="89">
        <f t="shared" si="46"/>
        <v>5125.981358974359</v>
      </c>
      <c r="H59" s="89">
        <f t="shared" si="46"/>
        <v>5125.981358974359</v>
      </c>
      <c r="I59" s="89">
        <f t="shared" si="46"/>
        <v>5125.981358974359</v>
      </c>
      <c r="J59" s="89">
        <f t="shared" si="46"/>
        <v>5125.981358974359</v>
      </c>
      <c r="K59" s="89">
        <f t="shared" si="46"/>
        <v>25125.981358974361</v>
      </c>
      <c r="L59" s="89">
        <f t="shared" si="46"/>
        <v>9125.9813589743571</v>
      </c>
      <c r="M59" s="89">
        <f>SUM(M30:M58)</f>
        <v>5125.981358974359</v>
      </c>
      <c r="N59" s="89">
        <f>SUM(N30:N58)</f>
        <v>5125.981358974359</v>
      </c>
      <c r="O59" s="126">
        <f t="shared" si="46"/>
        <v>13390.74358974359</v>
      </c>
      <c r="P59" s="89">
        <f t="shared" si="46"/>
        <v>79733.243589743593</v>
      </c>
      <c r="Q59" s="89">
        <f t="shared" si="46"/>
        <v>66583.243589743593</v>
      </c>
      <c r="R59" s="126">
        <f t="shared" si="46"/>
        <v>63853.243589743586</v>
      </c>
      <c r="S59" s="89">
        <f t="shared" si="46"/>
        <v>12390.74358974359</v>
      </c>
      <c r="T59" s="89">
        <f t="shared" si="46"/>
        <v>12390.74358974359</v>
      </c>
      <c r="U59" s="89">
        <f t="shared" si="46"/>
        <v>80753.243589743593</v>
      </c>
      <c r="V59" s="89">
        <f t="shared" si="46"/>
        <v>71000.743589743593</v>
      </c>
      <c r="W59" s="89">
        <f t="shared" si="46"/>
        <v>65640.743589743593</v>
      </c>
      <c r="X59" s="89">
        <f t="shared" si="46"/>
        <v>12390.74358974359</v>
      </c>
      <c r="Y59" s="89">
        <f t="shared" si="46"/>
        <v>12390.74358974359</v>
      </c>
      <c r="Z59" s="89">
        <f t="shared" si="46"/>
        <v>12390.74358974359</v>
      </c>
      <c r="AA59" s="89">
        <f t="shared" si="46"/>
        <v>17298.435897435898</v>
      </c>
      <c r="AB59" s="89">
        <f t="shared" si="46"/>
        <v>109428.43589743591</v>
      </c>
      <c r="AC59" s="89">
        <f t="shared" si="46"/>
        <v>74345.935897435906</v>
      </c>
      <c r="AD59" s="89">
        <f t="shared" si="46"/>
        <v>74908.435897435906</v>
      </c>
      <c r="AE59" s="89">
        <f t="shared" si="46"/>
        <v>22658.435897435898</v>
      </c>
      <c r="AF59" s="89">
        <f t="shared" si="46"/>
        <v>16298.435897435897</v>
      </c>
      <c r="AG59" s="89">
        <f t="shared" si="46"/>
        <v>84885.935897435906</v>
      </c>
      <c r="AH59" s="89">
        <f t="shared" si="46"/>
        <v>74908.435897435906</v>
      </c>
      <c r="AI59" s="89">
        <f t="shared" si="46"/>
        <v>75908.435897435906</v>
      </c>
      <c r="AJ59" s="89">
        <f t="shared" si="46"/>
        <v>16298.435897435897</v>
      </c>
      <c r="AK59" s="89">
        <f t="shared" si="46"/>
        <v>16298.435897435897</v>
      </c>
      <c r="AL59" s="89">
        <f t="shared" si="46"/>
        <v>20173.073589743588</v>
      </c>
      <c r="AM59" s="127">
        <f>SUM(AM30:AM58)</f>
        <v>1200831.5678461539</v>
      </c>
      <c r="AN59" s="36">
        <f t="shared" ref="AN59" si="47">SUM(C58:N58)</f>
        <v>0</v>
      </c>
      <c r="AO59" s="36">
        <f t="shared" ref="AO59" si="48">SUM(O58:Z58)</f>
        <v>0</v>
      </c>
      <c r="AP59" s="37">
        <f t="shared" ref="AP59" si="49">SUM(AA58:AL58)</f>
        <v>0</v>
      </c>
      <c r="AQ59" s="11">
        <f>(AN60+AO60+AP60)-AM59</f>
        <v>0</v>
      </c>
      <c r="AS59" s="46">
        <f>AN21</f>
        <v>142274</v>
      </c>
      <c r="AT59" s="46">
        <f>AO21</f>
        <v>748000</v>
      </c>
      <c r="AU59" s="46">
        <f>AP21</f>
        <v>997000</v>
      </c>
    </row>
    <row r="60" spans="1:47" s="3" customFormat="1" ht="24" customHeight="1" x14ac:dyDescent="0.4"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139"/>
      <c r="P60" s="90"/>
      <c r="Q60" s="90"/>
      <c r="R60" s="139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129"/>
      <c r="AN60" s="21">
        <f>SUM(C59:N59)</f>
        <v>94511.7763076923</v>
      </c>
      <c r="AO60" s="21">
        <f>SUM(O59:Z59)</f>
        <v>502908.92307692306</v>
      </c>
      <c r="AP60" s="21">
        <f>SUM(AA59:AL59)</f>
        <v>603410.86846153834</v>
      </c>
      <c r="AS60" s="46">
        <f>-AN25</f>
        <v>-12500</v>
      </c>
      <c r="AT60" s="46">
        <f>-AO25</f>
        <v>-10000</v>
      </c>
      <c r="AU60" s="46">
        <f>-AP25</f>
        <v>-10000</v>
      </c>
    </row>
    <row r="61" spans="1:47" s="49" customFormat="1" ht="25.5" customHeight="1" thickBot="1" x14ac:dyDescent="0.4">
      <c r="A61" s="47" t="s">
        <v>131</v>
      </c>
      <c r="B61" s="47"/>
      <c r="C61" s="91">
        <f t="shared" ref="C61:AL61" si="50">C26-C59</f>
        <v>-4825.981358974359</v>
      </c>
      <c r="D61" s="91">
        <f t="shared" si="50"/>
        <v>6624.018641025641</v>
      </c>
      <c r="E61" s="91">
        <f t="shared" si="50"/>
        <v>19128.018641025643</v>
      </c>
      <c r="F61" s="91">
        <f t="shared" si="50"/>
        <v>-4875.981358974359</v>
      </c>
      <c r="G61" s="91">
        <f t="shared" si="50"/>
        <v>-5875.981358974359</v>
      </c>
      <c r="H61" s="91">
        <f t="shared" si="50"/>
        <v>-9375.981358974359</v>
      </c>
      <c r="I61" s="91">
        <f t="shared" si="50"/>
        <v>-3885.981358974359</v>
      </c>
      <c r="J61" s="91">
        <f t="shared" si="50"/>
        <v>-2645.981358974359</v>
      </c>
      <c r="K61" s="91">
        <f t="shared" si="50"/>
        <v>43624.018641025643</v>
      </c>
      <c r="L61" s="91">
        <f t="shared" si="50"/>
        <v>7624.0186410256429</v>
      </c>
      <c r="M61" s="91">
        <f t="shared" si="50"/>
        <v>-5125.981358974359</v>
      </c>
      <c r="N61" s="91">
        <f t="shared" si="50"/>
        <v>-5125.981358974359</v>
      </c>
      <c r="O61" s="140">
        <f t="shared" si="50"/>
        <v>-18390.74358974359</v>
      </c>
      <c r="P61" s="91">
        <f t="shared" si="50"/>
        <v>9766.7564102564065</v>
      </c>
      <c r="Q61" s="91">
        <f t="shared" si="50"/>
        <v>12916.756410256407</v>
      </c>
      <c r="R61" s="140">
        <f t="shared" si="50"/>
        <v>33646.756410256414</v>
      </c>
      <c r="S61" s="91">
        <f t="shared" si="50"/>
        <v>-12390.74358974359</v>
      </c>
      <c r="T61" s="91">
        <f t="shared" si="50"/>
        <v>-17390.74358974359</v>
      </c>
      <c r="U61" s="91">
        <f t="shared" si="50"/>
        <v>76746.756410256407</v>
      </c>
      <c r="V61" s="91">
        <f t="shared" si="50"/>
        <v>102999.25641025641</v>
      </c>
      <c r="W61" s="91">
        <f t="shared" si="50"/>
        <v>84359.256410256407</v>
      </c>
      <c r="X61" s="91">
        <f t="shared" si="50"/>
        <v>-12390.74358974359</v>
      </c>
      <c r="Y61" s="91">
        <f t="shared" si="50"/>
        <v>-12390.74358974359</v>
      </c>
      <c r="Z61" s="91">
        <f t="shared" si="50"/>
        <v>-12390.74358974359</v>
      </c>
      <c r="AA61" s="91">
        <f t="shared" si="50"/>
        <v>-22298.435897435898</v>
      </c>
      <c r="AB61" s="91">
        <f t="shared" si="50"/>
        <v>32571.564102564094</v>
      </c>
      <c r="AC61" s="91">
        <f t="shared" si="50"/>
        <v>62154.064102564094</v>
      </c>
      <c r="AD61" s="91">
        <f t="shared" si="50"/>
        <v>99091.564102564094</v>
      </c>
      <c r="AE61" s="91">
        <f t="shared" si="50"/>
        <v>1341.5641025641016</v>
      </c>
      <c r="AF61" s="91">
        <f t="shared" si="50"/>
        <v>-21298.435897435898</v>
      </c>
      <c r="AG61" s="91">
        <f t="shared" si="50"/>
        <v>87614.064102564094</v>
      </c>
      <c r="AH61" s="91">
        <f t="shared" si="50"/>
        <v>99091.564102564094</v>
      </c>
      <c r="AI61" s="91">
        <f t="shared" si="50"/>
        <v>98091.564102564094</v>
      </c>
      <c r="AJ61" s="91">
        <f t="shared" si="50"/>
        <v>-16298.435897435897</v>
      </c>
      <c r="AK61" s="91">
        <f t="shared" si="50"/>
        <v>-16298.435897435897</v>
      </c>
      <c r="AL61" s="91">
        <f t="shared" si="50"/>
        <v>-20173.073589743588</v>
      </c>
      <c r="AM61" s="141">
        <f>AM26-AM59</f>
        <v>653942.43215384614</v>
      </c>
      <c r="AN61" s="48"/>
      <c r="AO61" s="48">
        <f>AO60-AN60</f>
        <v>408397.14676923078</v>
      </c>
      <c r="AP61" s="48">
        <f>AP60-AO60</f>
        <v>100501.94538461528</v>
      </c>
      <c r="AS61" s="50">
        <f>SUM(AS59:AS60)</f>
        <v>129774</v>
      </c>
      <c r="AT61" s="50">
        <f>SUM(AT59:AT60)</f>
        <v>738000</v>
      </c>
      <c r="AU61" s="50">
        <f>SUM(AU59:AU60)</f>
        <v>987000</v>
      </c>
    </row>
    <row r="62" spans="1:47" s="49" customFormat="1" ht="36" customHeight="1" thickTop="1" thickBot="1" x14ac:dyDescent="0.4">
      <c r="A62" s="47" t="s">
        <v>132</v>
      </c>
      <c r="B62" s="51"/>
      <c r="C62" s="92">
        <f>C61</f>
        <v>-4825.981358974359</v>
      </c>
      <c r="D62" s="92">
        <f>C62+D61</f>
        <v>1798.0372820512821</v>
      </c>
      <c r="E62" s="92">
        <f t="shared" ref="E62:M62" si="51">D62+E61</f>
        <v>20926.055923076925</v>
      </c>
      <c r="F62" s="92">
        <f t="shared" si="51"/>
        <v>16050.074564102566</v>
      </c>
      <c r="G62" s="92">
        <f t="shared" si="51"/>
        <v>10174.093205128207</v>
      </c>
      <c r="H62" s="92">
        <f t="shared" si="51"/>
        <v>798.11184615384809</v>
      </c>
      <c r="I62" s="92">
        <f>H62+I61</f>
        <v>-3087.8695128205109</v>
      </c>
      <c r="J62" s="92">
        <f>I62+J61</f>
        <v>-5733.8508717948698</v>
      </c>
      <c r="K62" s="92">
        <f t="shared" si="51"/>
        <v>37890.167769230771</v>
      </c>
      <c r="L62" s="92">
        <f t="shared" si="51"/>
        <v>45514.186410256414</v>
      </c>
      <c r="M62" s="92">
        <f t="shared" si="51"/>
        <v>40388.205051282057</v>
      </c>
      <c r="N62" s="92">
        <f>M62+N61</f>
        <v>35262.2236923077</v>
      </c>
      <c r="O62" s="107">
        <f t="shared" ref="O62:AG62" si="52">N62+O61</f>
        <v>16871.48010256411</v>
      </c>
      <c r="P62" s="92">
        <f t="shared" si="52"/>
        <v>26638.236512820517</v>
      </c>
      <c r="Q62" s="92">
        <f t="shared" si="52"/>
        <v>39554.992923076919</v>
      </c>
      <c r="R62" s="107">
        <f t="shared" si="52"/>
        <v>73201.74933333334</v>
      </c>
      <c r="S62" s="92">
        <f t="shared" si="52"/>
        <v>60811.005743589747</v>
      </c>
      <c r="T62" s="92">
        <f t="shared" si="52"/>
        <v>43420.262153846154</v>
      </c>
      <c r="U62" s="92">
        <f t="shared" si="52"/>
        <v>120167.01856410256</v>
      </c>
      <c r="V62" s="92">
        <f t="shared" si="52"/>
        <v>223166.27497435897</v>
      </c>
      <c r="W62" s="142">
        <f t="shared" si="52"/>
        <v>307525.53138461534</v>
      </c>
      <c r="X62" s="92">
        <f t="shared" si="52"/>
        <v>295134.78779487178</v>
      </c>
      <c r="Y62" s="92">
        <f t="shared" si="52"/>
        <v>282744.04420512822</v>
      </c>
      <c r="Z62" s="92">
        <f t="shared" si="52"/>
        <v>270353.30061538465</v>
      </c>
      <c r="AA62" s="143">
        <f t="shared" si="52"/>
        <v>248054.86471794875</v>
      </c>
      <c r="AB62" s="142">
        <f t="shared" si="52"/>
        <v>280626.42882051284</v>
      </c>
      <c r="AC62" s="142">
        <f t="shared" si="52"/>
        <v>342780.49292307696</v>
      </c>
      <c r="AD62" s="92">
        <f t="shared" si="52"/>
        <v>441872.05702564109</v>
      </c>
      <c r="AE62" s="92">
        <f t="shared" si="52"/>
        <v>443213.62112820521</v>
      </c>
      <c r="AF62" s="92">
        <f t="shared" si="52"/>
        <v>421915.18523076933</v>
      </c>
      <c r="AG62" s="92">
        <f t="shared" si="52"/>
        <v>509529.24933333346</v>
      </c>
      <c r="AH62" s="92">
        <f>AG62+AH61</f>
        <v>608620.81343589758</v>
      </c>
      <c r="AI62" s="92">
        <f t="shared" ref="AI62:AK62" si="53">AH62+AI61</f>
        <v>706712.3775384617</v>
      </c>
      <c r="AJ62" s="92">
        <f t="shared" si="53"/>
        <v>690413.94164102583</v>
      </c>
      <c r="AK62" s="92">
        <f t="shared" si="53"/>
        <v>674115.50574358995</v>
      </c>
      <c r="AL62" s="92">
        <f>AK62+AL61</f>
        <v>653942.43215384637</v>
      </c>
      <c r="AM62" s="144"/>
      <c r="AN62" s="52">
        <f>AM26-AM59-AM61</f>
        <v>0</v>
      </c>
      <c r="AO62" s="52">
        <f>AO61/AN60</f>
        <v>4.3211244431556768</v>
      </c>
      <c r="AP62" s="52">
        <f>AP61/AO60</f>
        <v>0.19984124514975621</v>
      </c>
      <c r="AS62" s="53">
        <f>-AN31+-AN32</f>
        <v>-42000</v>
      </c>
      <c r="AT62" s="54">
        <f>-AO31+-AO32</f>
        <v>-108000</v>
      </c>
      <c r="AU62" s="54">
        <f>-AP31+-AP32</f>
        <v>-144000</v>
      </c>
    </row>
    <row r="63" spans="1:47" s="3" customFormat="1" ht="24" customHeight="1" thickTop="1" x14ac:dyDescent="0.4">
      <c r="D63" s="90"/>
      <c r="E63" s="90"/>
      <c r="G63" s="90"/>
      <c r="H63" s="90"/>
      <c r="J63" s="90"/>
      <c r="K63" s="90"/>
      <c r="L63" s="90"/>
      <c r="N63" s="90"/>
      <c r="O63" s="139"/>
      <c r="P63" s="90"/>
      <c r="Q63" s="90"/>
      <c r="R63" s="139"/>
      <c r="S63" s="90"/>
      <c r="T63" s="90"/>
      <c r="U63" s="90"/>
      <c r="W63" s="90"/>
      <c r="X63" s="90"/>
      <c r="Y63" s="90"/>
      <c r="Z63" s="145"/>
      <c r="AC63" s="146" t="s">
        <v>53</v>
      </c>
      <c r="AD63" s="90"/>
      <c r="AE63" s="90"/>
      <c r="AF63" s="90"/>
      <c r="AG63" s="90"/>
      <c r="AH63" s="90"/>
      <c r="AI63" s="90"/>
      <c r="AJ63" s="90"/>
      <c r="AK63" s="90"/>
      <c r="AL63" s="145"/>
      <c r="AM63" s="147" t="e">
        <f>AM61/AD65</f>
        <v>#DIV/0!</v>
      </c>
      <c r="AN63" s="55">
        <f>AN36+AN38+AN41+AN42+AN43+AN44+AN50+AN51+AN53+AN54+AN55+AN56+AN58</f>
        <v>35556</v>
      </c>
      <c r="AO63" s="55">
        <f>AO36+AO38+AO41+AO42+AO43+AO44+AO50+AO51+AO53+AO54+AO55+AO56+AO58</f>
        <v>56612</v>
      </c>
      <c r="AP63" s="55">
        <f>AP36+AP38+AP41+AP42+AP43+AP44+AP50+AP51+AP53+AP54+AP55+AP56+AP58</f>
        <v>81347</v>
      </c>
      <c r="AS63" s="56">
        <f>-AN66</f>
        <v>-17492.545538461538</v>
      </c>
      <c r="AT63" s="57">
        <f>-AO66</f>
        <v>-46556.615384615383</v>
      </c>
      <c r="AU63" s="57">
        <f>-AP66</f>
        <v>-59453.153846153851</v>
      </c>
    </row>
    <row r="64" spans="1:47" s="3" customFormat="1" ht="31.5" customHeight="1" x14ac:dyDescent="0.4">
      <c r="B64" s="49"/>
      <c r="C64" s="84"/>
      <c r="D64" s="84"/>
      <c r="E64" s="84"/>
      <c r="G64" s="90"/>
      <c r="H64" s="90"/>
      <c r="I64" s="90"/>
      <c r="J64" s="148"/>
      <c r="K64" s="90"/>
      <c r="L64" s="90"/>
      <c r="N64" s="90"/>
      <c r="O64" s="139"/>
      <c r="P64" s="90"/>
      <c r="Q64" s="90"/>
      <c r="R64" s="139"/>
      <c r="S64" s="90"/>
      <c r="T64" s="90"/>
      <c r="U64" s="90"/>
      <c r="V64" s="90"/>
      <c r="W64" s="90"/>
      <c r="X64" s="90"/>
      <c r="Y64" s="90"/>
      <c r="Z64" s="90"/>
      <c r="AA64" s="149" t="s">
        <v>54</v>
      </c>
      <c r="AB64" s="139">
        <f>-AC64</f>
        <v>-68772</v>
      </c>
      <c r="AC64" s="150">
        <v>68772</v>
      </c>
      <c r="AD64" s="151" t="s">
        <v>55</v>
      </c>
      <c r="AE64" s="90"/>
      <c r="AF64" s="90"/>
      <c r="AG64" s="90"/>
      <c r="AH64" s="90"/>
      <c r="AI64" s="90"/>
      <c r="AJ64" s="90"/>
      <c r="AK64" s="90"/>
      <c r="AL64" s="90"/>
      <c r="AM64" s="90"/>
      <c r="AN64" s="58">
        <f>AN21-AN25-AN60</f>
        <v>35262.2236923077</v>
      </c>
      <c r="AO64" s="58">
        <f>AO21-AO25-AO60</f>
        <v>235091.07692307694</v>
      </c>
      <c r="AP64" s="58">
        <f>AP21-AP25-AP60</f>
        <v>383589.13153846166</v>
      </c>
      <c r="AS64" s="56">
        <f>-AN34</f>
        <v>0</v>
      </c>
      <c r="AT64" s="57">
        <f>-AO34</f>
        <v>-300000</v>
      </c>
      <c r="AU64" s="57">
        <f>-AP34</f>
        <v>-325000</v>
      </c>
    </row>
    <row r="65" spans="1:49" s="3" customFormat="1" ht="31.5" customHeight="1" x14ac:dyDescent="0.4">
      <c r="C65" s="152"/>
      <c r="D65" s="90"/>
      <c r="E65" s="153"/>
      <c r="F65" s="154"/>
      <c r="G65" s="90"/>
      <c r="H65" s="90"/>
      <c r="I65" s="90"/>
      <c r="J65" s="90"/>
      <c r="K65" s="90"/>
      <c r="L65" s="90"/>
      <c r="M65" s="90"/>
      <c r="N65" s="90"/>
      <c r="O65" s="139"/>
      <c r="P65" s="90"/>
      <c r="Q65" s="90"/>
      <c r="R65" s="139"/>
      <c r="S65" s="90"/>
      <c r="T65" s="90"/>
      <c r="U65" s="90"/>
      <c r="V65" s="90"/>
      <c r="W65" s="90"/>
      <c r="X65" s="90"/>
      <c r="Y65" s="90"/>
      <c r="Z65" s="90"/>
      <c r="AA65" s="90" t="s">
        <v>56</v>
      </c>
      <c r="AB65" s="155">
        <f>-AC65</f>
        <v>-17139</v>
      </c>
      <c r="AC65" s="150">
        <v>17139</v>
      </c>
      <c r="AD65" s="156"/>
      <c r="AE65" s="157">
        <f>E65+C79</f>
        <v>6480</v>
      </c>
      <c r="AF65" s="158"/>
      <c r="AG65" s="159"/>
      <c r="AH65" s="90"/>
      <c r="AI65" s="90"/>
      <c r="AJ65" s="90"/>
      <c r="AK65" s="90"/>
      <c r="AL65" s="149"/>
      <c r="AM65" s="129"/>
      <c r="AN65" s="59">
        <f>AN21/AN64</f>
        <v>4.0347427105408684</v>
      </c>
      <c r="AO65" s="59">
        <f>-AO21/AO64</f>
        <v>-3.1817456017046091</v>
      </c>
      <c r="AP65" s="59">
        <f>AP21/AP64</f>
        <v>2.5991351631922681</v>
      </c>
      <c r="AS65" s="56">
        <f>-AN36</f>
        <v>-33000</v>
      </c>
      <c r="AT65" s="57">
        <f>-AO36</f>
        <v>-41000</v>
      </c>
      <c r="AU65" s="57">
        <f>-AP36</f>
        <v>-62000</v>
      </c>
    </row>
    <row r="66" spans="1:49" s="61" customFormat="1" ht="34.5" customHeight="1" thickBot="1" x14ac:dyDescent="0.45">
      <c r="A66" s="1" t="s">
        <v>57</v>
      </c>
      <c r="B66" s="3"/>
      <c r="C66" s="93"/>
      <c r="D66" s="93"/>
      <c r="E66" s="93"/>
      <c r="F66" s="93"/>
      <c r="G66" s="160"/>
      <c r="H66" s="161"/>
      <c r="I66" s="93"/>
      <c r="J66" s="93"/>
      <c r="K66" s="93"/>
      <c r="L66" s="93"/>
      <c r="M66" s="160"/>
      <c r="N66" s="162"/>
      <c r="O66" s="163"/>
      <c r="P66" s="93"/>
      <c r="Q66" s="93"/>
      <c r="R66" s="16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164"/>
      <c r="AN66" s="60">
        <f>AN37+AN33+AN39+AN40+AN41+AN42+AN43+AN44+AN45+AN47+AN48+AN49+AN50+AN51+AN52+AN53+AN54+AN55+AN56+AN58+AN59</f>
        <v>17492.545538461538</v>
      </c>
      <c r="AO66" s="60">
        <f>AO37+AO33+AO39+AO40+AO41+AO42+AO43+AO44+AO45+AO47+AO48+AO49+AO50+AO51+AO52+AO53+AO54+AO55+AO56+AO58+AO59</f>
        <v>46556.615384615383</v>
      </c>
      <c r="AP66" s="60">
        <f>AP37+AP33+AP39+AP40+AP41+AP42+AP43+AP44+AP45+AP47+AP48+AP49+AP50+AP51+AP52+AP53+AP54+AP55+AP56+AP58+AP59</f>
        <v>59453.153846153851</v>
      </c>
      <c r="AS66" s="62">
        <f>SUM(AS61:AS65)</f>
        <v>37281.454461538466</v>
      </c>
      <c r="AT66" s="63">
        <f>SUM(AT61:AT65)</f>
        <v>242443.38461538462</v>
      </c>
      <c r="AU66" s="63">
        <f>SUM(AU61:AU65)</f>
        <v>396546.84615384613</v>
      </c>
    </row>
    <row r="67" spans="1:49" s="3" customFormat="1" ht="24" customHeight="1" thickTop="1" thickBot="1" x14ac:dyDescent="0.45">
      <c r="A67" s="16" t="s">
        <v>58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104"/>
      <c r="P67" s="78"/>
      <c r="Q67" s="78"/>
      <c r="R67" s="104"/>
      <c r="S67" s="78"/>
      <c r="T67" s="78"/>
      <c r="U67" s="78"/>
      <c r="V67" s="90"/>
      <c r="W67" s="90"/>
      <c r="X67" s="90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129">
        <f t="shared" ref="AM67:AM78" si="54">SUM(C67:AL67)</f>
        <v>0</v>
      </c>
      <c r="AN67" s="64"/>
      <c r="AO67" s="64">
        <f>AN64-AO64</f>
        <v>-199828.85323076922</v>
      </c>
      <c r="AP67" s="64">
        <f>AO64-AP64</f>
        <v>-148498.05461538472</v>
      </c>
      <c r="AS67" s="56">
        <f>-AN38</f>
        <v>0</v>
      </c>
      <c r="AT67" s="57">
        <f>-AO38</f>
        <v>-2160</v>
      </c>
      <c r="AU67" s="57">
        <f>-AP38</f>
        <v>-2160</v>
      </c>
    </row>
    <row r="68" spans="1:49" s="3" customFormat="1" ht="24" customHeight="1" thickTop="1" x14ac:dyDescent="0.4">
      <c r="A68" s="16" t="s">
        <v>59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104"/>
      <c r="P68" s="78"/>
      <c r="Q68" s="78"/>
      <c r="R68" s="104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129">
        <f t="shared" si="54"/>
        <v>0</v>
      </c>
      <c r="AN68" s="48"/>
      <c r="AS68" s="56">
        <f>-AN46</f>
        <v>-2019.2307692307688</v>
      </c>
      <c r="AT68" s="57">
        <f>-AO46</f>
        <v>-5192.3076923076924</v>
      </c>
      <c r="AU68" s="57">
        <f>-AP46</f>
        <v>-6923.0769230769247</v>
      </c>
    </row>
    <row r="69" spans="1:49" s="3" customFormat="1" ht="24" customHeight="1" thickBot="1" x14ac:dyDescent="0.45">
      <c r="A69" s="16" t="s">
        <v>60</v>
      </c>
      <c r="B69" s="16"/>
      <c r="C69" s="78">
        <v>2970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78">
        <v>0</v>
      </c>
      <c r="O69" s="104">
        <v>0</v>
      </c>
      <c r="P69" s="78">
        <v>0</v>
      </c>
      <c r="Q69" s="78">
        <v>0</v>
      </c>
      <c r="R69" s="104">
        <v>0</v>
      </c>
      <c r="S69" s="78">
        <v>0</v>
      </c>
      <c r="T69" s="78">
        <v>0</v>
      </c>
      <c r="U69" s="78">
        <v>0</v>
      </c>
      <c r="V69" s="78">
        <v>0</v>
      </c>
      <c r="W69" s="78">
        <v>0</v>
      </c>
      <c r="X69" s="78">
        <v>0</v>
      </c>
      <c r="Y69" s="78">
        <v>0</v>
      </c>
      <c r="Z69" s="78">
        <v>0</v>
      </c>
      <c r="AA69" s="78">
        <v>0</v>
      </c>
      <c r="AB69" s="78">
        <v>0</v>
      </c>
      <c r="AC69" s="78">
        <v>0</v>
      </c>
      <c r="AD69" s="78">
        <v>0</v>
      </c>
      <c r="AE69" s="78">
        <v>0</v>
      </c>
      <c r="AF69" s="78">
        <v>0</v>
      </c>
      <c r="AG69" s="78">
        <v>0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129">
        <f t="shared" si="54"/>
        <v>2970</v>
      </c>
      <c r="AN69" s="48"/>
      <c r="AS69" s="65">
        <f>SUM(AS66:AS68)</f>
        <v>35262.2236923077</v>
      </c>
      <c r="AT69" s="66">
        <f>SUM(AT66:AT68)</f>
        <v>235091.07692307694</v>
      </c>
      <c r="AU69" s="66">
        <f>SUM(AU66:AU68)</f>
        <v>387463.76923076919</v>
      </c>
    </row>
    <row r="70" spans="1:49" s="3" customFormat="1" ht="24" customHeight="1" thickTop="1" x14ac:dyDescent="0.4">
      <c r="A70" s="16" t="s">
        <v>61</v>
      </c>
      <c r="B70" s="16"/>
      <c r="C70" s="78">
        <f>380+1185</f>
        <v>1565</v>
      </c>
      <c r="D70" s="78">
        <v>0</v>
      </c>
      <c r="E70" s="78">
        <v>0</v>
      </c>
      <c r="F70" s="78">
        <v>0</v>
      </c>
      <c r="G70" s="78">
        <v>0</v>
      </c>
      <c r="H70" s="78">
        <v>0</v>
      </c>
      <c r="I70" s="78">
        <v>0</v>
      </c>
      <c r="J70" s="78">
        <v>0</v>
      </c>
      <c r="K70" s="78">
        <v>0</v>
      </c>
      <c r="L70" s="78">
        <v>0</v>
      </c>
      <c r="M70" s="78">
        <v>0</v>
      </c>
      <c r="N70" s="78">
        <v>0</v>
      </c>
      <c r="O70" s="104">
        <v>0</v>
      </c>
      <c r="P70" s="78">
        <v>0</v>
      </c>
      <c r="Q70" s="78">
        <v>0</v>
      </c>
      <c r="R70" s="104">
        <v>0</v>
      </c>
      <c r="S70" s="78">
        <v>0</v>
      </c>
      <c r="T70" s="78">
        <v>0</v>
      </c>
      <c r="U70" s="78">
        <v>0</v>
      </c>
      <c r="V70" s="78">
        <v>0</v>
      </c>
      <c r="W70" s="78">
        <v>0</v>
      </c>
      <c r="X70" s="78">
        <v>0</v>
      </c>
      <c r="Y70" s="78">
        <v>0</v>
      </c>
      <c r="Z70" s="78">
        <v>0</v>
      </c>
      <c r="AA70" s="78">
        <v>0</v>
      </c>
      <c r="AB70" s="78">
        <v>0</v>
      </c>
      <c r="AC70" s="78">
        <v>0</v>
      </c>
      <c r="AD70" s="78">
        <v>0</v>
      </c>
      <c r="AE70" s="78">
        <v>0</v>
      </c>
      <c r="AF70" s="78">
        <v>0</v>
      </c>
      <c r="AG70" s="78">
        <v>0</v>
      </c>
      <c r="AH70" s="78">
        <v>0</v>
      </c>
      <c r="AI70" s="78">
        <v>0</v>
      </c>
      <c r="AJ70" s="78">
        <v>0</v>
      </c>
      <c r="AK70" s="78">
        <v>0</v>
      </c>
      <c r="AL70" s="78">
        <v>0</v>
      </c>
      <c r="AM70" s="129">
        <f t="shared" si="54"/>
        <v>1565</v>
      </c>
      <c r="AN70" s="48"/>
      <c r="AS70" s="67"/>
      <c r="AT70" s="68"/>
      <c r="AU70" s="68"/>
    </row>
    <row r="71" spans="1:49" s="3" customFormat="1" ht="24" customHeight="1" thickBot="1" x14ac:dyDescent="0.45">
      <c r="A71" s="16" t="s">
        <v>62</v>
      </c>
      <c r="B71" s="16"/>
      <c r="C71" s="78">
        <v>1945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78">
        <v>0</v>
      </c>
      <c r="O71" s="104">
        <v>0</v>
      </c>
      <c r="P71" s="78">
        <v>0</v>
      </c>
      <c r="Q71" s="78">
        <v>0</v>
      </c>
      <c r="R71" s="104">
        <v>0</v>
      </c>
      <c r="S71" s="78">
        <v>0</v>
      </c>
      <c r="T71" s="78">
        <v>0</v>
      </c>
      <c r="U71" s="78">
        <v>0</v>
      </c>
      <c r="V71" s="78">
        <v>0</v>
      </c>
      <c r="W71" s="78">
        <v>0</v>
      </c>
      <c r="X71" s="78">
        <v>0</v>
      </c>
      <c r="Y71" s="78">
        <v>0</v>
      </c>
      <c r="Z71" s="78">
        <v>0</v>
      </c>
      <c r="AA71" s="78">
        <v>0</v>
      </c>
      <c r="AB71" s="78">
        <v>0</v>
      </c>
      <c r="AC71" s="78">
        <v>0</v>
      </c>
      <c r="AD71" s="78">
        <v>0</v>
      </c>
      <c r="AE71" s="78">
        <v>0</v>
      </c>
      <c r="AF71" s="78">
        <v>0</v>
      </c>
      <c r="AG71" s="78">
        <v>0</v>
      </c>
      <c r="AH71" s="78">
        <v>0</v>
      </c>
      <c r="AI71" s="78">
        <v>0</v>
      </c>
      <c r="AJ71" s="78">
        <v>0</v>
      </c>
      <c r="AK71" s="78">
        <v>0</v>
      </c>
      <c r="AL71" s="78">
        <v>0</v>
      </c>
      <c r="AM71" s="129">
        <f t="shared" si="54"/>
        <v>1945</v>
      </c>
      <c r="AN71" s="48"/>
      <c r="AS71" s="65">
        <f>SUM(AS69:AS70)</f>
        <v>35262.2236923077</v>
      </c>
      <c r="AT71" s="66">
        <f t="shared" ref="AT71:AU71" si="55">SUM(AT69:AT70)</f>
        <v>235091.07692307694</v>
      </c>
      <c r="AU71" s="66">
        <f t="shared" si="55"/>
        <v>387463.76923076919</v>
      </c>
    </row>
    <row r="72" spans="1:49" s="3" customFormat="1" ht="24" customHeight="1" thickTop="1" x14ac:dyDescent="0.4">
      <c r="A72" s="16" t="s">
        <v>63</v>
      </c>
      <c r="B72" s="16"/>
      <c r="C72" s="78"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8">
        <v>0</v>
      </c>
      <c r="L72" s="78">
        <v>0</v>
      </c>
      <c r="M72" s="78">
        <v>0</v>
      </c>
      <c r="N72" s="78">
        <v>0</v>
      </c>
      <c r="O72" s="104">
        <v>0</v>
      </c>
      <c r="P72" s="78">
        <v>0</v>
      </c>
      <c r="Q72" s="78">
        <v>0</v>
      </c>
      <c r="R72" s="104">
        <v>0</v>
      </c>
      <c r="S72" s="78">
        <v>0</v>
      </c>
      <c r="T72" s="78">
        <v>0</v>
      </c>
      <c r="U72" s="78">
        <v>0</v>
      </c>
      <c r="V72" s="78">
        <v>0</v>
      </c>
      <c r="W72" s="78">
        <v>0</v>
      </c>
      <c r="X72" s="78">
        <v>0</v>
      </c>
      <c r="Y72" s="78">
        <v>0</v>
      </c>
      <c r="Z72" s="78">
        <v>0</v>
      </c>
      <c r="AA72" s="78">
        <v>0</v>
      </c>
      <c r="AB72" s="78">
        <v>0</v>
      </c>
      <c r="AC72" s="78">
        <v>0</v>
      </c>
      <c r="AD72" s="78">
        <v>0</v>
      </c>
      <c r="AE72" s="78">
        <v>0</v>
      </c>
      <c r="AF72" s="78">
        <v>0</v>
      </c>
      <c r="AG72" s="78">
        <v>0</v>
      </c>
      <c r="AH72" s="78">
        <v>0</v>
      </c>
      <c r="AI72" s="78">
        <v>0</v>
      </c>
      <c r="AJ72" s="78">
        <v>0</v>
      </c>
      <c r="AK72" s="78">
        <v>0</v>
      </c>
      <c r="AL72" s="78">
        <v>0</v>
      </c>
      <c r="AM72" s="129">
        <f t="shared" si="54"/>
        <v>0</v>
      </c>
      <c r="AN72" s="165">
        <f>AM79+AD65</f>
        <v>6480</v>
      </c>
      <c r="AR72" s="3" t="s">
        <v>64</v>
      </c>
      <c r="AS72" s="69">
        <v>0</v>
      </c>
      <c r="AT72" s="69">
        <v>0</v>
      </c>
      <c r="AU72" s="57">
        <f>-AP57</f>
        <v>-3874.6376923076928</v>
      </c>
    </row>
    <row r="73" spans="1:49" s="3" customFormat="1" ht="24" customHeight="1" x14ac:dyDescent="0.4">
      <c r="A73" s="16" t="s">
        <v>65</v>
      </c>
      <c r="B73" s="16"/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104">
        <v>0</v>
      </c>
      <c r="P73" s="78">
        <v>0</v>
      </c>
      <c r="Q73" s="78">
        <v>0</v>
      </c>
      <c r="R73" s="104">
        <v>0</v>
      </c>
      <c r="S73" s="78">
        <v>0</v>
      </c>
      <c r="T73" s="78">
        <v>0</v>
      </c>
      <c r="U73" s="78">
        <v>0</v>
      </c>
      <c r="V73" s="78">
        <v>0</v>
      </c>
      <c r="W73" s="78">
        <v>0</v>
      </c>
      <c r="X73" s="78">
        <v>0</v>
      </c>
      <c r="Y73" s="78">
        <v>0</v>
      </c>
      <c r="Z73" s="78">
        <v>0</v>
      </c>
      <c r="AA73" s="78">
        <v>0</v>
      </c>
      <c r="AB73" s="78">
        <v>0</v>
      </c>
      <c r="AC73" s="78">
        <v>0</v>
      </c>
      <c r="AD73" s="78">
        <v>0</v>
      </c>
      <c r="AE73" s="78">
        <v>0</v>
      </c>
      <c r="AF73" s="78">
        <v>0</v>
      </c>
      <c r="AG73" s="78">
        <v>0</v>
      </c>
      <c r="AH73" s="78">
        <v>0</v>
      </c>
      <c r="AI73" s="78">
        <v>0</v>
      </c>
      <c r="AJ73" s="78">
        <v>0</v>
      </c>
      <c r="AK73" s="78">
        <v>0</v>
      </c>
      <c r="AL73" s="78">
        <v>0</v>
      </c>
      <c r="AM73" s="129">
        <f t="shared" si="54"/>
        <v>0</v>
      </c>
      <c r="AN73" s="48"/>
      <c r="AS73" s="70">
        <f>SUM(AS71:AS72)</f>
        <v>35262.2236923077</v>
      </c>
      <c r="AT73" s="71">
        <f t="shared" ref="AT73" si="56">SUM(AT71:AT72)</f>
        <v>235091.07692307694</v>
      </c>
      <c r="AU73" s="71">
        <f>SUM(AU71:AU72)</f>
        <v>383589.13153846149</v>
      </c>
      <c r="AW73" s="72">
        <f>SUM(AS73:AU73)</f>
        <v>653942.43215384614</v>
      </c>
    </row>
    <row r="74" spans="1:49" s="3" customFormat="1" ht="24" customHeight="1" x14ac:dyDescent="0.4">
      <c r="A74" s="16" t="s">
        <v>66</v>
      </c>
      <c r="B74" s="16"/>
      <c r="C74" s="78"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104">
        <v>0</v>
      </c>
      <c r="P74" s="78">
        <v>0</v>
      </c>
      <c r="Q74" s="78">
        <v>0</v>
      </c>
      <c r="R74" s="104">
        <v>0</v>
      </c>
      <c r="S74" s="78">
        <v>0</v>
      </c>
      <c r="T74" s="78">
        <v>0</v>
      </c>
      <c r="U74" s="78">
        <v>0</v>
      </c>
      <c r="V74" s="78">
        <v>0</v>
      </c>
      <c r="W74" s="78">
        <v>0</v>
      </c>
      <c r="X74" s="78">
        <v>0</v>
      </c>
      <c r="Y74" s="78">
        <v>0</v>
      </c>
      <c r="Z74" s="78">
        <v>0</v>
      </c>
      <c r="AA74" s="78">
        <v>0</v>
      </c>
      <c r="AB74" s="78">
        <v>0</v>
      </c>
      <c r="AC74" s="78">
        <v>0</v>
      </c>
      <c r="AD74" s="78">
        <v>0</v>
      </c>
      <c r="AE74" s="78">
        <v>0</v>
      </c>
      <c r="AF74" s="78">
        <v>0</v>
      </c>
      <c r="AG74" s="78">
        <v>0</v>
      </c>
      <c r="AH74" s="78">
        <v>0</v>
      </c>
      <c r="AI74" s="78">
        <v>0</v>
      </c>
      <c r="AJ74" s="78">
        <v>0</v>
      </c>
      <c r="AK74" s="78">
        <v>0</v>
      </c>
      <c r="AL74" s="78">
        <v>0</v>
      </c>
      <c r="AM74" s="129">
        <f t="shared" si="54"/>
        <v>0</v>
      </c>
      <c r="AN74" s="48"/>
      <c r="AS74" s="46">
        <f>AS73-AN64</f>
        <v>0</v>
      </c>
      <c r="AT74" s="46">
        <f>AT73-AO64</f>
        <v>0</v>
      </c>
      <c r="AU74" s="46">
        <f>AU73-AP64</f>
        <v>0</v>
      </c>
      <c r="AV74" s="73">
        <f>AU73-AT73</f>
        <v>148498.05461538455</v>
      </c>
    </row>
    <row r="75" spans="1:49" s="3" customFormat="1" ht="24" customHeight="1" x14ac:dyDescent="0.4">
      <c r="A75" s="16" t="s">
        <v>67</v>
      </c>
      <c r="B75" s="16"/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0</v>
      </c>
      <c r="O75" s="104">
        <v>0</v>
      </c>
      <c r="P75" s="78">
        <v>0</v>
      </c>
      <c r="Q75" s="78">
        <v>0</v>
      </c>
      <c r="R75" s="104">
        <v>0</v>
      </c>
      <c r="S75" s="78">
        <v>0</v>
      </c>
      <c r="T75" s="78">
        <v>0</v>
      </c>
      <c r="U75" s="78">
        <v>0</v>
      </c>
      <c r="V75" s="78">
        <v>0</v>
      </c>
      <c r="W75" s="78">
        <v>0</v>
      </c>
      <c r="X75" s="78">
        <v>0</v>
      </c>
      <c r="Y75" s="78">
        <v>0</v>
      </c>
      <c r="Z75" s="78">
        <v>0</v>
      </c>
      <c r="AA75" s="78">
        <v>0</v>
      </c>
      <c r="AB75" s="78">
        <v>0</v>
      </c>
      <c r="AC75" s="78">
        <v>0</v>
      </c>
      <c r="AD75" s="78">
        <v>0</v>
      </c>
      <c r="AE75" s="78">
        <v>0</v>
      </c>
      <c r="AF75" s="78">
        <v>0</v>
      </c>
      <c r="AG75" s="78">
        <v>0</v>
      </c>
      <c r="AH75" s="78">
        <v>0</v>
      </c>
      <c r="AI75" s="78">
        <v>0</v>
      </c>
      <c r="AJ75" s="78">
        <v>0</v>
      </c>
      <c r="AK75" s="78">
        <v>0</v>
      </c>
      <c r="AL75" s="78">
        <v>0</v>
      </c>
      <c r="AM75" s="129">
        <f t="shared" si="54"/>
        <v>0</v>
      </c>
      <c r="AN75" s="48"/>
      <c r="AS75" s="74">
        <f>AN21/AS73</f>
        <v>4.0347427105408684</v>
      </c>
      <c r="AT75" s="74">
        <f>AO21/AT73</f>
        <v>3.1817456017046091</v>
      </c>
      <c r="AU75" s="74">
        <f>AP21/AU73</f>
        <v>2.5991351631922694</v>
      </c>
      <c r="AV75" s="8"/>
    </row>
    <row r="76" spans="1:49" s="3" customFormat="1" ht="24" customHeight="1" x14ac:dyDescent="0.4">
      <c r="A76" s="16" t="s">
        <v>68</v>
      </c>
      <c r="B76" s="16"/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104">
        <v>0</v>
      </c>
      <c r="P76" s="78">
        <v>0</v>
      </c>
      <c r="Q76" s="78">
        <v>0</v>
      </c>
      <c r="R76" s="104">
        <v>0</v>
      </c>
      <c r="S76" s="78">
        <v>0</v>
      </c>
      <c r="T76" s="78">
        <v>0</v>
      </c>
      <c r="U76" s="78">
        <v>0</v>
      </c>
      <c r="V76" s="78">
        <v>0</v>
      </c>
      <c r="W76" s="78">
        <v>0</v>
      </c>
      <c r="X76" s="78">
        <v>0</v>
      </c>
      <c r="Y76" s="78">
        <v>0</v>
      </c>
      <c r="Z76" s="78">
        <v>0</v>
      </c>
      <c r="AA76" s="78">
        <v>0</v>
      </c>
      <c r="AB76" s="78">
        <v>0</v>
      </c>
      <c r="AC76" s="78">
        <v>0</v>
      </c>
      <c r="AD76" s="78">
        <v>0</v>
      </c>
      <c r="AE76" s="78">
        <v>0</v>
      </c>
      <c r="AF76" s="78">
        <v>0</v>
      </c>
      <c r="AG76" s="78">
        <v>0</v>
      </c>
      <c r="AH76" s="78">
        <v>0</v>
      </c>
      <c r="AI76" s="78">
        <v>0</v>
      </c>
      <c r="AJ76" s="78">
        <v>0</v>
      </c>
      <c r="AK76" s="78">
        <v>0</v>
      </c>
      <c r="AL76" s="78">
        <v>0</v>
      </c>
      <c r="AM76" s="129">
        <f t="shared" si="54"/>
        <v>0</v>
      </c>
      <c r="AN76" s="48"/>
      <c r="AR76" s="72">
        <f>AS76-AT76</f>
        <v>408397.14676923078</v>
      </c>
      <c r="AS76" s="72">
        <f>AS62+AS63+AS64+AS65+AS67+AS68</f>
        <v>-94511.7763076923</v>
      </c>
      <c r="AT76" s="72">
        <f>AT62+AT63+AT64+AT65+AT67+AT68</f>
        <v>-502908.92307692306</v>
      </c>
      <c r="AU76" s="72">
        <f>AU62+AU63+AU64+AU65+AU67+AU68</f>
        <v>-599536.23076923075</v>
      </c>
      <c r="AV76" s="72">
        <f>AU76-AT76</f>
        <v>-96627.307692307688</v>
      </c>
    </row>
    <row r="77" spans="1:49" s="3" customFormat="1" ht="24" customHeight="1" x14ac:dyDescent="0.4">
      <c r="A77" s="16" t="s">
        <v>69</v>
      </c>
      <c r="B77" s="16"/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104">
        <v>0</v>
      </c>
      <c r="P77" s="78">
        <v>0</v>
      </c>
      <c r="Q77" s="78">
        <v>0</v>
      </c>
      <c r="R77" s="104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78">
        <v>0</v>
      </c>
      <c r="AA77" s="78">
        <v>0</v>
      </c>
      <c r="AB77" s="78">
        <v>0</v>
      </c>
      <c r="AC77" s="78">
        <v>0</v>
      </c>
      <c r="AD77" s="78">
        <v>0</v>
      </c>
      <c r="AE77" s="78">
        <v>0</v>
      </c>
      <c r="AF77" s="78">
        <v>0</v>
      </c>
      <c r="AG77" s="78">
        <v>0</v>
      </c>
      <c r="AH77" s="78">
        <v>0</v>
      </c>
      <c r="AI77" s="78">
        <v>0</v>
      </c>
      <c r="AJ77" s="78">
        <v>0</v>
      </c>
      <c r="AK77" s="78">
        <v>0</v>
      </c>
      <c r="AL77" s="78">
        <v>0</v>
      </c>
      <c r="AM77" s="129">
        <f t="shared" si="54"/>
        <v>0</v>
      </c>
      <c r="AN77" s="48"/>
      <c r="AS77" s="72">
        <f>AS60+AS62+AS63+AS64+AS65+AS67+AS68</f>
        <v>-107011.7763076923</v>
      </c>
      <c r="AT77" s="72">
        <f>AT60+AT62+AT63+AT64+AT65+AT67+AT68</f>
        <v>-512908.92307692306</v>
      </c>
      <c r="AU77" s="72">
        <f>AU60+AU62+AU63+AU64+AU65+AU67+AU68</f>
        <v>-609536.23076923075</v>
      </c>
    </row>
    <row r="78" spans="1:49" s="3" customFormat="1" ht="24" customHeight="1" x14ac:dyDescent="0.4">
      <c r="A78" s="16" t="s">
        <v>70</v>
      </c>
      <c r="B78" s="16"/>
      <c r="C78" s="78">
        <v>0</v>
      </c>
      <c r="D78" s="78">
        <v>0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104">
        <v>0</v>
      </c>
      <c r="P78" s="78">
        <v>0</v>
      </c>
      <c r="Q78" s="78">
        <v>0</v>
      </c>
      <c r="R78" s="104">
        <v>0</v>
      </c>
      <c r="S78" s="78">
        <v>0</v>
      </c>
      <c r="T78" s="78">
        <v>0</v>
      </c>
      <c r="U78" s="78">
        <v>0</v>
      </c>
      <c r="V78" s="78">
        <v>0</v>
      </c>
      <c r="W78" s="78">
        <v>0</v>
      </c>
      <c r="X78" s="78">
        <v>0</v>
      </c>
      <c r="Y78" s="78">
        <v>0</v>
      </c>
      <c r="Z78" s="78">
        <v>0</v>
      </c>
      <c r="AA78" s="78">
        <v>0</v>
      </c>
      <c r="AB78" s="78">
        <v>0</v>
      </c>
      <c r="AC78" s="78">
        <v>0</v>
      </c>
      <c r="AD78" s="78">
        <v>0</v>
      </c>
      <c r="AE78" s="78">
        <v>0</v>
      </c>
      <c r="AF78" s="78">
        <v>0</v>
      </c>
      <c r="AG78" s="78">
        <v>0</v>
      </c>
      <c r="AH78" s="78">
        <v>0</v>
      </c>
      <c r="AI78" s="78">
        <v>0</v>
      </c>
      <c r="AJ78" s="78">
        <v>0</v>
      </c>
      <c r="AK78" s="78">
        <v>0</v>
      </c>
      <c r="AL78" s="78">
        <v>0</v>
      </c>
      <c r="AM78" s="129">
        <f t="shared" si="54"/>
        <v>0</v>
      </c>
      <c r="AN78" s="48"/>
      <c r="AT78" s="72">
        <f>AT77-AS77</f>
        <v>-405897.14676923078</v>
      </c>
      <c r="AU78" s="72">
        <f>AU77-AT77</f>
        <v>-96627.307692307688</v>
      </c>
    </row>
    <row r="79" spans="1:49" s="3" customFormat="1" ht="24" customHeight="1" thickBot="1" x14ac:dyDescent="0.45">
      <c r="A79" s="61" t="s">
        <v>71</v>
      </c>
      <c r="B79" s="61"/>
      <c r="C79" s="94">
        <f>SUM(C69:C78)</f>
        <v>6480</v>
      </c>
      <c r="D79" s="94">
        <f t="shared" ref="D79:AL79" si="57">SUM(D69:D78)</f>
        <v>0</v>
      </c>
      <c r="E79" s="94">
        <f t="shared" si="57"/>
        <v>0</v>
      </c>
      <c r="F79" s="94">
        <f t="shared" si="57"/>
        <v>0</v>
      </c>
      <c r="G79" s="94">
        <f t="shared" si="57"/>
        <v>0</v>
      </c>
      <c r="H79" s="94">
        <f t="shared" si="57"/>
        <v>0</v>
      </c>
      <c r="I79" s="94">
        <f t="shared" si="57"/>
        <v>0</v>
      </c>
      <c r="J79" s="94">
        <f t="shared" si="57"/>
        <v>0</v>
      </c>
      <c r="K79" s="94">
        <f t="shared" si="57"/>
        <v>0</v>
      </c>
      <c r="L79" s="94">
        <f t="shared" si="57"/>
        <v>0</v>
      </c>
      <c r="M79" s="94">
        <f t="shared" si="57"/>
        <v>0</v>
      </c>
      <c r="N79" s="94">
        <f t="shared" si="57"/>
        <v>0</v>
      </c>
      <c r="O79" s="133">
        <f t="shared" si="57"/>
        <v>0</v>
      </c>
      <c r="P79" s="94">
        <f t="shared" si="57"/>
        <v>0</v>
      </c>
      <c r="Q79" s="94">
        <f t="shared" si="57"/>
        <v>0</v>
      </c>
      <c r="R79" s="133">
        <f t="shared" si="57"/>
        <v>0</v>
      </c>
      <c r="S79" s="94">
        <f t="shared" si="57"/>
        <v>0</v>
      </c>
      <c r="T79" s="94">
        <f t="shared" si="57"/>
        <v>0</v>
      </c>
      <c r="U79" s="94">
        <f t="shared" si="57"/>
        <v>0</v>
      </c>
      <c r="V79" s="94">
        <f t="shared" si="57"/>
        <v>0</v>
      </c>
      <c r="W79" s="94">
        <f t="shared" si="57"/>
        <v>0</v>
      </c>
      <c r="X79" s="94">
        <f t="shared" si="57"/>
        <v>0</v>
      </c>
      <c r="Y79" s="94">
        <f t="shared" si="57"/>
        <v>0</v>
      </c>
      <c r="Z79" s="94">
        <f t="shared" si="57"/>
        <v>0</v>
      </c>
      <c r="AA79" s="94">
        <f t="shared" si="57"/>
        <v>0</v>
      </c>
      <c r="AB79" s="94">
        <f t="shared" si="57"/>
        <v>0</v>
      </c>
      <c r="AC79" s="94">
        <f t="shared" si="57"/>
        <v>0</v>
      </c>
      <c r="AD79" s="94">
        <f t="shared" si="57"/>
        <v>0</v>
      </c>
      <c r="AE79" s="94">
        <f t="shared" si="57"/>
        <v>0</v>
      </c>
      <c r="AF79" s="94">
        <f t="shared" si="57"/>
        <v>0</v>
      </c>
      <c r="AG79" s="94">
        <f t="shared" si="57"/>
        <v>0</v>
      </c>
      <c r="AH79" s="94">
        <f t="shared" si="57"/>
        <v>0</v>
      </c>
      <c r="AI79" s="94">
        <f t="shared" si="57"/>
        <v>0</v>
      </c>
      <c r="AJ79" s="94">
        <f t="shared" si="57"/>
        <v>0</v>
      </c>
      <c r="AK79" s="94">
        <f t="shared" si="57"/>
        <v>0</v>
      </c>
      <c r="AL79" s="94">
        <f t="shared" si="57"/>
        <v>0</v>
      </c>
      <c r="AM79" s="166">
        <f>SUM(AM67:AM75)</f>
        <v>6480</v>
      </c>
      <c r="AN79" s="48"/>
      <c r="AT79" s="72">
        <f>AT73-AS73</f>
        <v>199828.85323076922</v>
      </c>
      <c r="AU79" s="72">
        <f>AU73-AT73</f>
        <v>148498.05461538455</v>
      </c>
    </row>
    <row r="80" spans="1:49" s="3" customFormat="1" ht="24" customHeight="1" thickTop="1" x14ac:dyDescent="0.35"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131"/>
      <c r="P80" s="87"/>
      <c r="Q80" s="87"/>
      <c r="R80" s="131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99"/>
      <c r="AN80" s="48"/>
      <c r="AT80" s="72">
        <f>AS73+AT73</f>
        <v>270353.30061538465</v>
      </c>
      <c r="AU80" s="72">
        <f>AT73+AU73</f>
        <v>618680.20846153842</v>
      </c>
    </row>
    <row r="81" spans="1:48" s="3" customFormat="1" ht="24" customHeight="1" x14ac:dyDescent="0.35"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131"/>
      <c r="P81" s="87"/>
      <c r="Q81" s="87"/>
      <c r="R81" s="131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99"/>
      <c r="AS81" s="75">
        <f>AS73/AS59</f>
        <v>0.24784727843673265</v>
      </c>
      <c r="AT81" s="75">
        <f>AT73/AT59</f>
        <v>0.31429288358700125</v>
      </c>
      <c r="AU81" s="75">
        <f>AU73/AU59</f>
        <v>0.3847433616233315</v>
      </c>
    </row>
    <row r="82" spans="1:48" s="3" customFormat="1" ht="24" customHeight="1" x14ac:dyDescent="0.35"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95">
        <f>L85/O85-1</f>
        <v>-0.80979411764705889</v>
      </c>
      <c r="O82" s="131"/>
      <c r="P82" s="87"/>
      <c r="Q82" s="95">
        <f>O85/R85-1</f>
        <v>-0.24974924774322971</v>
      </c>
      <c r="R82" s="131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99"/>
      <c r="AT82" s="11"/>
      <c r="AU82" s="167" t="s">
        <v>72</v>
      </c>
    </row>
    <row r="83" spans="1:48" s="3" customFormat="1" ht="24" customHeight="1" x14ac:dyDescent="0.4">
      <c r="C83" s="87"/>
      <c r="D83" s="87"/>
      <c r="E83" s="87"/>
      <c r="F83" s="87"/>
      <c r="G83" s="87"/>
      <c r="H83" s="87"/>
      <c r="I83" s="87"/>
      <c r="J83" s="87"/>
      <c r="K83" s="87"/>
      <c r="L83" s="96" t="s">
        <v>73</v>
      </c>
      <c r="M83" s="168"/>
      <c r="N83" s="96" t="s">
        <v>74</v>
      </c>
      <c r="O83" s="131"/>
      <c r="P83" s="87"/>
      <c r="Q83" s="87"/>
      <c r="R83" s="131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99"/>
      <c r="AT83" s="11"/>
      <c r="AU83" s="167"/>
    </row>
    <row r="84" spans="1:48" s="3" customFormat="1" ht="34.5" customHeight="1" x14ac:dyDescent="0.4"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131"/>
      <c r="P84" s="87"/>
      <c r="Q84" s="96" t="s">
        <v>75</v>
      </c>
      <c r="R84" s="131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99"/>
      <c r="AT84" s="11"/>
      <c r="AU84" s="169">
        <f>AU59</f>
        <v>997000</v>
      </c>
    </row>
    <row r="85" spans="1:48" s="3" customFormat="1" ht="34.5" customHeight="1" x14ac:dyDescent="0.35">
      <c r="C85" s="87"/>
      <c r="D85" s="87"/>
      <c r="E85" s="87"/>
      <c r="F85" s="87"/>
      <c r="G85" s="87"/>
      <c r="H85" s="87"/>
      <c r="I85" s="87"/>
      <c r="J85" s="87"/>
      <c r="K85" s="170" t="s">
        <v>76</v>
      </c>
      <c r="L85" s="171">
        <f>SUM(C20:N20)</f>
        <v>142274</v>
      </c>
      <c r="M85" s="87"/>
      <c r="N85" s="87" t="str">
        <f>K85</f>
        <v>sales</v>
      </c>
      <c r="O85" s="172">
        <f>SUM(O20:Z20)</f>
        <v>748000</v>
      </c>
      <c r="P85" s="87"/>
      <c r="Q85" s="87" t="str">
        <f>N85</f>
        <v>sales</v>
      </c>
      <c r="R85" s="172">
        <f>SUM(AA20:AL20)</f>
        <v>997000</v>
      </c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99"/>
      <c r="AT85" s="11"/>
      <c r="AU85" s="167">
        <f>AU60+AU62+AU63+AU64+AU65+AU67+AU68</f>
        <v>-609536.23076923075</v>
      </c>
    </row>
    <row r="86" spans="1:48" s="3" customFormat="1" ht="34.5" customHeight="1" x14ac:dyDescent="0.35">
      <c r="C86" s="87"/>
      <c r="D86" s="87"/>
      <c r="E86" s="87"/>
      <c r="F86" s="87"/>
      <c r="G86" s="87"/>
      <c r="H86" s="87"/>
      <c r="I86" s="87"/>
      <c r="J86" s="87"/>
      <c r="K86" s="49" t="s">
        <v>77</v>
      </c>
      <c r="L86" s="173">
        <f>(SUM(C23:N23)+SUM(C24:N24))</f>
        <v>12500</v>
      </c>
      <c r="M86" s="87"/>
      <c r="N86" s="87" t="str">
        <f t="shared" ref="N86:N116" si="58">K86</f>
        <v>Cost of Sales</v>
      </c>
      <c r="O86" s="174">
        <f>(SUM(O23:Z23)+SUM(O24:Z24))</f>
        <v>10000</v>
      </c>
      <c r="P86" s="87"/>
      <c r="Q86" s="87" t="str">
        <f t="shared" ref="Q86:Q113" si="59">N86</f>
        <v>Cost of Sales</v>
      </c>
      <c r="R86" s="174">
        <f>(SUM(AA23:AL23)+SUM(AA24:AL24))</f>
        <v>10000</v>
      </c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99"/>
      <c r="AT86" s="11"/>
      <c r="AU86" s="175">
        <f>AU84+AU85</f>
        <v>387463.76923076925</v>
      </c>
    </row>
    <row r="87" spans="1:48" s="3" customFormat="1" ht="34.5" customHeight="1" x14ac:dyDescent="0.35">
      <c r="C87" s="87"/>
      <c r="D87" s="87"/>
      <c r="E87" s="87"/>
      <c r="F87" s="87"/>
      <c r="G87" s="87"/>
      <c r="H87" s="87"/>
      <c r="I87" s="87"/>
      <c r="J87" s="87"/>
      <c r="K87" s="49" t="s">
        <v>78</v>
      </c>
      <c r="L87" s="173">
        <f>SUM(C30:N30)+SUM(C31:N31)+SUM(C45:N45)+SUM(C46:N46)</f>
        <v>48057.692307692305</v>
      </c>
      <c r="M87" s="87"/>
      <c r="N87" s="87" t="str">
        <f t="shared" si="58"/>
        <v>Staff Costs</v>
      </c>
      <c r="O87" s="174">
        <f>SUM(O30:Z30)+SUM(O31:Z31)+SUM(O45:Z45)+SUM(O46:Z46)</f>
        <v>123576.92307692308</v>
      </c>
      <c r="P87" s="87"/>
      <c r="Q87" s="87" t="str">
        <f t="shared" si="59"/>
        <v>Staff Costs</v>
      </c>
      <c r="R87" s="174">
        <f>SUM(AA30:AL30)+SUM(AA31:AL31)+SUM(AA45:AL45)+SUM(AA46:AL46)</f>
        <v>164769.23076923078</v>
      </c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99"/>
      <c r="AT87" s="11"/>
      <c r="AU87" s="167">
        <f>4171-4171</f>
        <v>0</v>
      </c>
      <c r="AV87" s="3" t="s">
        <v>79</v>
      </c>
    </row>
    <row r="88" spans="1:48" s="3" customFormat="1" ht="34.5" customHeight="1" x14ac:dyDescent="0.35">
      <c r="C88" s="87"/>
      <c r="D88" s="87"/>
      <c r="E88" s="87"/>
      <c r="F88" s="87"/>
      <c r="G88" s="87"/>
      <c r="H88" s="87"/>
      <c r="I88" s="87"/>
      <c r="J88" s="87"/>
      <c r="K88" s="49" t="s">
        <v>80</v>
      </c>
      <c r="L88" s="173">
        <f>SUM(C32:N32)</f>
        <v>5400</v>
      </c>
      <c r="M88" s="87"/>
      <c r="N88" s="87" t="str">
        <f t="shared" si="58"/>
        <v>Rent Exp.</v>
      </c>
      <c r="O88" s="174">
        <f>SUM(O32:Z32)</f>
        <v>9000</v>
      </c>
      <c r="P88" s="87"/>
      <c r="Q88" s="87" t="str">
        <f t="shared" si="59"/>
        <v>Rent Exp.</v>
      </c>
      <c r="R88" s="174">
        <f>SUM(AA32:AL32)</f>
        <v>14400</v>
      </c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99"/>
      <c r="AT88" s="11"/>
      <c r="AU88" s="167">
        <f>AU86+AU87</f>
        <v>387463.76923076925</v>
      </c>
    </row>
    <row r="89" spans="1:48" s="3" customFormat="1" ht="34.5" customHeight="1" x14ac:dyDescent="0.35">
      <c r="C89" s="87"/>
      <c r="D89" s="87"/>
      <c r="E89" s="87"/>
      <c r="F89" s="87"/>
      <c r="G89" s="87"/>
      <c r="H89" s="87"/>
      <c r="I89" s="87"/>
      <c r="J89" s="87"/>
      <c r="K89" s="49" t="s">
        <v>81</v>
      </c>
      <c r="L89" s="173">
        <f>SUM(C33:N33)</f>
        <v>0</v>
      </c>
      <c r="M89" s="87"/>
      <c r="N89" s="87" t="str">
        <f t="shared" si="58"/>
        <v>Marketing Exp.</v>
      </c>
      <c r="O89" s="174">
        <f>SUM(O33:Z33)</f>
        <v>300000</v>
      </c>
      <c r="P89" s="87"/>
      <c r="Q89" s="87" t="str">
        <f t="shared" si="59"/>
        <v>Marketing Exp.</v>
      </c>
      <c r="R89" s="174">
        <f>SUM(AA33:AL33)</f>
        <v>325000</v>
      </c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99"/>
      <c r="AR89" s="3">
        <v>8240</v>
      </c>
      <c r="AS89" s="6">
        <f t="shared" ref="AS89:AS91" si="60">AR89/500000</f>
        <v>1.6480000000000002E-2</v>
      </c>
      <c r="AT89" s="11"/>
      <c r="AU89" s="175">
        <f>AU88*1%</f>
        <v>3874.6376923076928</v>
      </c>
    </row>
    <row r="90" spans="1:48" s="3" customFormat="1" ht="34.5" customHeight="1" x14ac:dyDescent="0.35">
      <c r="C90" s="87"/>
      <c r="D90" s="87"/>
      <c r="E90" s="87"/>
      <c r="F90" s="87"/>
      <c r="G90" s="87"/>
      <c r="H90" s="87"/>
      <c r="I90" s="87"/>
      <c r="J90" s="87"/>
      <c r="K90" s="176" t="str">
        <f t="shared" ref="K90:K108" si="61">A35</f>
        <v>Gifts</v>
      </c>
      <c r="L90" s="173">
        <f t="shared" ref="L90:L99" si="62">SUM(C35:N35)</f>
        <v>33000</v>
      </c>
      <c r="M90" s="87"/>
      <c r="N90" s="87" t="str">
        <f t="shared" si="58"/>
        <v>Gifts</v>
      </c>
      <c r="O90" s="174">
        <f t="shared" ref="O90:O99" si="63">SUM(O35:Z35)</f>
        <v>41000</v>
      </c>
      <c r="P90" s="87"/>
      <c r="Q90" s="87" t="str">
        <f t="shared" si="59"/>
        <v>Gifts</v>
      </c>
      <c r="R90" s="174">
        <f t="shared" ref="R90:R99" si="64">SUM(AA35:AL35)</f>
        <v>62000</v>
      </c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99"/>
      <c r="AO90" s="3">
        <v>4120</v>
      </c>
      <c r="AP90" s="76">
        <f>AO90/500000</f>
        <v>8.2400000000000008E-3</v>
      </c>
      <c r="AR90" s="3">
        <v>44820</v>
      </c>
      <c r="AS90" s="6">
        <f t="shared" si="60"/>
        <v>8.9639999999999997E-2</v>
      </c>
      <c r="AT90" s="11"/>
      <c r="AU90" s="11"/>
    </row>
    <row r="91" spans="1:48" s="3" customFormat="1" ht="34.5" customHeight="1" x14ac:dyDescent="0.35">
      <c r="C91" s="87"/>
      <c r="D91" s="87"/>
      <c r="E91" s="87"/>
      <c r="F91" s="87"/>
      <c r="G91" s="87"/>
      <c r="H91" s="87"/>
      <c r="I91" s="87"/>
      <c r="J91" s="87"/>
      <c r="K91" s="176" t="str">
        <f t="shared" si="61"/>
        <v>Consultation Fees</v>
      </c>
      <c r="L91" s="173">
        <f t="shared" si="62"/>
        <v>0</v>
      </c>
      <c r="M91" s="87"/>
      <c r="N91" s="87" t="str">
        <f t="shared" si="58"/>
        <v>Consultation Fees</v>
      </c>
      <c r="O91" s="174">
        <f t="shared" si="63"/>
        <v>6000</v>
      </c>
      <c r="P91" s="87"/>
      <c r="Q91" s="87" t="str">
        <f t="shared" si="59"/>
        <v>Consultation Fees</v>
      </c>
      <c r="R91" s="174">
        <f t="shared" si="64"/>
        <v>6000</v>
      </c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99"/>
      <c r="AO91" s="3">
        <v>22410</v>
      </c>
      <c r="AP91" s="76">
        <f t="shared" ref="AP91:AP92" si="65">AO91/500000</f>
        <v>4.4819999999999999E-2</v>
      </c>
      <c r="AR91" s="3">
        <v>89548</v>
      </c>
      <c r="AS91" s="6">
        <f t="shared" si="60"/>
        <v>0.17909600000000001</v>
      </c>
      <c r="AT91" s="11"/>
      <c r="AU91" s="11"/>
    </row>
    <row r="92" spans="1:48" s="3" customFormat="1" ht="34.5" customHeight="1" x14ac:dyDescent="0.35">
      <c r="C92" s="87"/>
      <c r="D92" s="87"/>
      <c r="E92" s="87"/>
      <c r="F92" s="87"/>
      <c r="G92" s="87"/>
      <c r="H92" s="87"/>
      <c r="I92" s="87"/>
      <c r="J92" s="87"/>
      <c r="K92" s="176" t="str">
        <f t="shared" si="61"/>
        <v>Depreciation Expense</v>
      </c>
      <c r="L92" s="173">
        <f t="shared" si="62"/>
        <v>0</v>
      </c>
      <c r="M92" s="87"/>
      <c r="N92" s="87" t="str">
        <f t="shared" si="58"/>
        <v>Depreciation Expense</v>
      </c>
      <c r="O92" s="174">
        <f t="shared" si="63"/>
        <v>2160</v>
      </c>
      <c r="P92" s="87"/>
      <c r="Q92" s="87" t="str">
        <f t="shared" si="59"/>
        <v>Depreciation Expense</v>
      </c>
      <c r="R92" s="174">
        <f t="shared" si="64"/>
        <v>2160</v>
      </c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99"/>
      <c r="AO92" s="3">
        <v>44774</v>
      </c>
      <c r="AP92" s="76">
        <f t="shared" si="65"/>
        <v>8.9548000000000003E-2</v>
      </c>
      <c r="AT92" s="11"/>
      <c r="AU92" s="11"/>
    </row>
    <row r="93" spans="1:48" s="3" customFormat="1" ht="34.5" customHeight="1" x14ac:dyDescent="0.35">
      <c r="C93" s="87"/>
      <c r="D93" s="87"/>
      <c r="E93" s="87"/>
      <c r="F93" s="87"/>
      <c r="G93" s="87"/>
      <c r="H93" s="87"/>
      <c r="I93" s="87"/>
      <c r="J93" s="87"/>
      <c r="K93" s="176" t="str">
        <f t="shared" si="61"/>
        <v>Printing &amp; Stationery</v>
      </c>
      <c r="L93" s="173">
        <f t="shared" si="62"/>
        <v>600</v>
      </c>
      <c r="M93" s="87"/>
      <c r="N93" s="87" t="str">
        <f t="shared" si="58"/>
        <v>Printing &amp; Stationery</v>
      </c>
      <c r="O93" s="174">
        <f t="shared" si="63"/>
        <v>600</v>
      </c>
      <c r="P93" s="87"/>
      <c r="Q93" s="87" t="str">
        <f t="shared" si="59"/>
        <v>Printing &amp; Stationery</v>
      </c>
      <c r="R93" s="174">
        <f t="shared" si="64"/>
        <v>600</v>
      </c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99"/>
      <c r="AT93" s="11"/>
      <c r="AU93" s="11"/>
    </row>
    <row r="94" spans="1:48" s="3" customFormat="1" ht="34.5" customHeight="1" x14ac:dyDescent="0.35">
      <c r="C94" s="87"/>
      <c r="D94" s="87"/>
      <c r="E94" s="87"/>
      <c r="F94" s="87"/>
      <c r="G94" s="87"/>
      <c r="H94" s="87"/>
      <c r="I94" s="87"/>
      <c r="J94" s="87"/>
      <c r="K94" s="176" t="str">
        <f t="shared" si="61"/>
        <v>Subscriptions ( Internet &amp; Mobiles )</v>
      </c>
      <c r="L94" s="173">
        <f>SUM(C39:N39)</f>
        <v>900</v>
      </c>
      <c r="M94" s="87"/>
      <c r="N94" s="87" t="str">
        <f t="shared" si="58"/>
        <v>Subscriptions ( Internet &amp; Mobiles )</v>
      </c>
      <c r="O94" s="174">
        <f t="shared" si="63"/>
        <v>1200</v>
      </c>
      <c r="P94" s="87"/>
      <c r="Q94" s="87" t="str">
        <f t="shared" si="59"/>
        <v>Subscriptions ( Internet &amp; Mobiles )</v>
      </c>
      <c r="R94" s="174">
        <f t="shared" si="64"/>
        <v>1500</v>
      </c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99"/>
      <c r="AT94" s="11"/>
      <c r="AU94" s="11"/>
    </row>
    <row r="95" spans="1:48" ht="34.5" customHeight="1" thickBot="1" x14ac:dyDescent="0.45">
      <c r="A95" s="177" t="s">
        <v>82</v>
      </c>
      <c r="B95" s="178"/>
      <c r="C95" s="179">
        <v>2019</v>
      </c>
      <c r="D95" s="179">
        <v>2020</v>
      </c>
      <c r="E95" s="179">
        <f>1+D95</f>
        <v>2021</v>
      </c>
      <c r="F95" s="179">
        <f>1+E95</f>
        <v>2022</v>
      </c>
      <c r="K95" s="176" t="str">
        <f t="shared" si="61"/>
        <v xml:space="preserve">Vehicle Expenses </v>
      </c>
      <c r="L95" s="173">
        <f t="shared" si="62"/>
        <v>0</v>
      </c>
      <c r="N95" s="87" t="str">
        <f t="shared" si="58"/>
        <v xml:space="preserve">Vehicle Expenses </v>
      </c>
      <c r="O95" s="174">
        <f t="shared" si="63"/>
        <v>0</v>
      </c>
      <c r="Q95" s="87" t="str">
        <f t="shared" si="59"/>
        <v xml:space="preserve">Vehicle Expenses </v>
      </c>
      <c r="R95" s="174">
        <f t="shared" si="64"/>
        <v>0</v>
      </c>
      <c r="AN95" s="3"/>
      <c r="AO95" s="3"/>
      <c r="AP95" s="3"/>
      <c r="AS95" s="129"/>
      <c r="AT95" s="129"/>
      <c r="AU95" s="129"/>
    </row>
    <row r="96" spans="1:48" ht="34.5" customHeight="1" thickBot="1" x14ac:dyDescent="0.45">
      <c r="A96" s="180"/>
      <c r="B96" s="181"/>
      <c r="C96" s="182">
        <v>9</v>
      </c>
      <c r="D96" s="183">
        <v>0</v>
      </c>
      <c r="E96" s="183">
        <v>0</v>
      </c>
      <c r="F96" s="184"/>
      <c r="K96" s="176" t="str">
        <f t="shared" si="61"/>
        <v>Repairs and Maintenance</v>
      </c>
      <c r="L96" s="173">
        <f t="shared" si="62"/>
        <v>540</v>
      </c>
      <c r="N96" s="87" t="str">
        <f t="shared" si="58"/>
        <v>Repairs and Maintenance</v>
      </c>
      <c r="O96" s="174">
        <f t="shared" si="63"/>
        <v>540</v>
      </c>
      <c r="Q96" s="87" t="str">
        <f t="shared" si="59"/>
        <v>Repairs and Maintenance</v>
      </c>
      <c r="R96" s="174">
        <f t="shared" si="64"/>
        <v>540</v>
      </c>
      <c r="AS96" s="129"/>
      <c r="AT96" s="129"/>
      <c r="AU96" s="129"/>
    </row>
    <row r="97" spans="1:47" ht="29.25" customHeight="1" x14ac:dyDescent="0.35">
      <c r="K97" s="176" t="str">
        <f t="shared" si="61"/>
        <v>Hospitality</v>
      </c>
      <c r="L97" s="173">
        <f t="shared" si="62"/>
        <v>360</v>
      </c>
      <c r="N97" s="87" t="str">
        <f t="shared" si="58"/>
        <v>Hospitality</v>
      </c>
      <c r="O97" s="174">
        <f t="shared" si="63"/>
        <v>360</v>
      </c>
      <c r="Q97" s="87" t="str">
        <f t="shared" si="59"/>
        <v>Hospitality</v>
      </c>
      <c r="R97" s="174">
        <f t="shared" si="64"/>
        <v>360</v>
      </c>
      <c r="AS97" s="129"/>
      <c r="AT97" s="129"/>
      <c r="AU97" s="129"/>
    </row>
    <row r="98" spans="1:47" ht="44.25" customHeight="1" x14ac:dyDescent="0.35">
      <c r="A98" s="629" t="s">
        <v>83</v>
      </c>
      <c r="B98" s="629"/>
      <c r="C98" s="629"/>
      <c r="D98" s="629"/>
      <c r="E98" s="629"/>
      <c r="F98" s="629"/>
      <c r="G98" s="185"/>
      <c r="K98" s="176" t="str">
        <f t="shared" si="61"/>
        <v>Insurance</v>
      </c>
      <c r="L98" s="173">
        <f t="shared" si="62"/>
        <v>0</v>
      </c>
      <c r="N98" s="87" t="str">
        <f t="shared" si="58"/>
        <v>Insurance</v>
      </c>
      <c r="O98" s="174">
        <f t="shared" si="63"/>
        <v>0</v>
      </c>
      <c r="Q98" s="87" t="str">
        <f t="shared" si="59"/>
        <v>Insurance</v>
      </c>
      <c r="R98" s="174">
        <f t="shared" si="64"/>
        <v>0</v>
      </c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186"/>
      <c r="AS98" s="129"/>
      <c r="AT98" s="129"/>
      <c r="AU98" s="129"/>
    </row>
    <row r="99" spans="1:47" ht="44.25" customHeight="1" x14ac:dyDescent="0.35">
      <c r="A99" s="628" t="s">
        <v>84</v>
      </c>
      <c r="B99" s="628"/>
      <c r="C99" s="628"/>
      <c r="D99" s="628"/>
      <c r="E99" s="628"/>
      <c r="F99" s="628"/>
      <c r="G99" s="187"/>
      <c r="K99" s="176" t="str">
        <f t="shared" si="61"/>
        <v>Profesional Fees</v>
      </c>
      <c r="L99" s="173">
        <f t="shared" si="62"/>
        <v>2000.0000000000002</v>
      </c>
      <c r="N99" s="87" t="str">
        <f t="shared" si="58"/>
        <v>Profesional Fees</v>
      </c>
      <c r="O99" s="174">
        <f t="shared" si="63"/>
        <v>2000.0000000000002</v>
      </c>
      <c r="Q99" s="87" t="str">
        <f t="shared" si="59"/>
        <v>Profesional Fees</v>
      </c>
      <c r="R99" s="174">
        <f t="shared" si="64"/>
        <v>2000.0000000000002</v>
      </c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186"/>
      <c r="AS99" s="129"/>
      <c r="AT99" s="129"/>
      <c r="AU99" s="129"/>
    </row>
    <row r="100" spans="1:47" ht="36.75" customHeight="1" x14ac:dyDescent="0.35">
      <c r="H100" s="87">
        <f>C102+C107+C108+C109+C110+C111</f>
        <v>3</v>
      </c>
      <c r="I100" s="87">
        <f>C119+C120+C121</f>
        <v>0</v>
      </c>
      <c r="J100" s="87">
        <f>C128+C129+C130</f>
        <v>0</v>
      </c>
      <c r="K100" s="176" t="str">
        <f t="shared" si="61"/>
        <v>Indemnity</v>
      </c>
      <c r="L100" s="188">
        <v>0</v>
      </c>
      <c r="N100" s="87" t="str">
        <f t="shared" si="58"/>
        <v>Indemnity</v>
      </c>
      <c r="O100" s="189">
        <v>0</v>
      </c>
      <c r="Q100" s="87" t="str">
        <f t="shared" si="59"/>
        <v>Indemnity</v>
      </c>
      <c r="R100" s="18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S100" s="190"/>
      <c r="AT100" s="190"/>
      <c r="AU100" s="190"/>
    </row>
    <row r="101" spans="1:47" ht="110.25" customHeight="1" x14ac:dyDescent="0.35">
      <c r="A101" s="191" t="s">
        <v>85</v>
      </c>
      <c r="B101" s="191" t="s">
        <v>86</v>
      </c>
      <c r="C101" s="191" t="s">
        <v>87</v>
      </c>
      <c r="D101" s="191" t="s">
        <v>88</v>
      </c>
      <c r="E101" s="191" t="s">
        <v>89</v>
      </c>
      <c r="F101" s="191" t="s">
        <v>90</v>
      </c>
      <c r="G101" s="192" t="s">
        <v>91</v>
      </c>
      <c r="H101" s="191" t="s">
        <v>92</v>
      </c>
      <c r="I101" s="191" t="s">
        <v>93</v>
      </c>
      <c r="J101" s="191" t="s">
        <v>94</v>
      </c>
      <c r="K101" s="176" t="str">
        <f t="shared" si="61"/>
        <v>Leave</v>
      </c>
      <c r="L101" s="188">
        <v>0</v>
      </c>
      <c r="N101" s="87" t="str">
        <f t="shared" si="58"/>
        <v>Leave</v>
      </c>
      <c r="O101" s="189">
        <v>0</v>
      </c>
      <c r="Q101" s="87" t="str">
        <f t="shared" si="59"/>
        <v>Leave</v>
      </c>
      <c r="R101" s="189"/>
      <c r="V101" s="193">
        <f>SUM(C33:AC33)</f>
        <v>425000</v>
      </c>
      <c r="W101" s="194">
        <f>V101/V105</f>
        <v>0.75710708835342133</v>
      </c>
      <c r="X101" s="195">
        <f>-H64</f>
        <v>0</v>
      </c>
      <c r="Y101" s="194">
        <f>X101/X105</f>
        <v>0</v>
      </c>
      <c r="Z101" s="196">
        <f>X101+X102</f>
        <v>0</v>
      </c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S101" s="147"/>
      <c r="AT101" s="147"/>
      <c r="AU101" s="147"/>
    </row>
    <row r="102" spans="1:47" s="99" customFormat="1" ht="77.25" customHeight="1" x14ac:dyDescent="0.35">
      <c r="A102" s="99" t="s">
        <v>95</v>
      </c>
      <c r="B102" s="197">
        <v>2230</v>
      </c>
      <c r="C102" s="198">
        <v>1</v>
      </c>
      <c r="D102" s="197">
        <f>B102*C102</f>
        <v>2230</v>
      </c>
      <c r="E102" s="197">
        <f>D102*12</f>
        <v>26760</v>
      </c>
      <c r="F102" s="198" t="s">
        <v>96</v>
      </c>
      <c r="G102" s="199">
        <f>B102*7</f>
        <v>15610</v>
      </c>
      <c r="H102" s="186">
        <f>D102+D107+D109+D110</f>
        <v>2530</v>
      </c>
      <c r="I102" s="186">
        <f>H102+D119+D120+D121</f>
        <v>2530</v>
      </c>
      <c r="J102" s="186">
        <f>I102+D128+D129+D130</f>
        <v>2530</v>
      </c>
      <c r="K102" s="176" t="str">
        <f t="shared" si="61"/>
        <v>Telephone &amp; Internet</v>
      </c>
      <c r="L102" s="173">
        <f t="shared" ref="L102:L108" si="66">SUM(C47:N47)</f>
        <v>1518.0840000000005</v>
      </c>
      <c r="N102" s="87" t="str">
        <f t="shared" si="58"/>
        <v>Telephone &amp; Internet</v>
      </c>
      <c r="O102" s="174">
        <f t="shared" ref="O102:O108" si="67">SUM(O47:Z47)</f>
        <v>1440</v>
      </c>
      <c r="Q102" s="87" t="str">
        <f t="shared" si="59"/>
        <v>Telephone &amp; Internet</v>
      </c>
      <c r="R102" s="174">
        <f t="shared" ref="R102:R108" si="68">SUM(AA47:AL47)</f>
        <v>1440</v>
      </c>
      <c r="V102" s="193">
        <f>SUM(C30:L30)</f>
        <v>35000</v>
      </c>
      <c r="W102" s="194">
        <f>V102/V105</f>
        <v>6.2349995511458221E-2</v>
      </c>
      <c r="X102" s="195">
        <f>-O64</f>
        <v>0</v>
      </c>
      <c r="Y102" s="194">
        <f>X102/X105</f>
        <v>0</v>
      </c>
      <c r="AN102" s="100"/>
      <c r="AO102" s="100"/>
      <c r="AP102" s="100"/>
      <c r="AT102" s="129"/>
      <c r="AU102" s="129"/>
    </row>
    <row r="103" spans="1:47" s="99" customFormat="1" ht="77.25" customHeight="1" x14ac:dyDescent="0.35">
      <c r="A103" s="99" t="s">
        <v>97</v>
      </c>
      <c r="B103" s="200">
        <v>700</v>
      </c>
      <c r="C103" s="99">
        <v>1</v>
      </c>
      <c r="D103" s="197">
        <f t="shared" ref="D103:D110" si="69">B103*C103</f>
        <v>700</v>
      </c>
      <c r="E103" s="197">
        <f>D103*12</f>
        <v>8400</v>
      </c>
      <c r="G103" s="199">
        <f>B103*12</f>
        <v>8400</v>
      </c>
      <c r="H103" s="201"/>
      <c r="K103" s="176" t="str">
        <f t="shared" si="61"/>
        <v>Travel</v>
      </c>
      <c r="L103" s="173">
        <f t="shared" si="66"/>
        <v>0</v>
      </c>
      <c r="N103" s="87" t="str">
        <f t="shared" si="58"/>
        <v>Travel</v>
      </c>
      <c r="O103" s="174">
        <f t="shared" si="67"/>
        <v>2000</v>
      </c>
      <c r="Q103" s="87" t="str">
        <f t="shared" si="59"/>
        <v>Travel</v>
      </c>
      <c r="R103" s="174">
        <f t="shared" si="68"/>
        <v>2000</v>
      </c>
      <c r="V103" s="193">
        <f>SUM(C32:L32)</f>
        <v>4500</v>
      </c>
      <c r="W103" s="194">
        <f>V103/V105</f>
        <v>8.0164279943303433E-3</v>
      </c>
      <c r="X103" s="202">
        <f>-AC64-X101-X102</f>
        <v>-68772</v>
      </c>
      <c r="Y103" s="194">
        <f>X103/X105</f>
        <v>1</v>
      </c>
      <c r="AU103" s="129">
        <f>AU100+AT100</f>
        <v>0</v>
      </c>
    </row>
    <row r="104" spans="1:47" s="99" customFormat="1" ht="77.25" customHeight="1" x14ac:dyDescent="0.35">
      <c r="A104" s="99" t="s">
        <v>98</v>
      </c>
      <c r="B104" s="197">
        <v>700</v>
      </c>
      <c r="C104" s="99">
        <v>0</v>
      </c>
      <c r="D104" s="197">
        <f t="shared" si="69"/>
        <v>0</v>
      </c>
      <c r="E104" s="197">
        <f>D104*12</f>
        <v>0</v>
      </c>
      <c r="G104" s="199">
        <f>B104*3</f>
        <v>2100</v>
      </c>
      <c r="K104" s="176" t="str">
        <f t="shared" si="61"/>
        <v>Governmental Expenses</v>
      </c>
      <c r="L104" s="173">
        <f t="shared" si="66"/>
        <v>300</v>
      </c>
      <c r="N104" s="87" t="str">
        <f t="shared" si="58"/>
        <v>Governmental Expenses</v>
      </c>
      <c r="O104" s="174">
        <f t="shared" si="67"/>
        <v>300</v>
      </c>
      <c r="Q104" s="87" t="str">
        <f t="shared" si="59"/>
        <v>Governmental Expenses</v>
      </c>
      <c r="R104" s="174">
        <f t="shared" si="68"/>
        <v>300</v>
      </c>
      <c r="V104" s="197">
        <v>96847.273771141772</v>
      </c>
      <c r="W104" s="194">
        <f>V104/V105</f>
        <v>0.17252648814079016</v>
      </c>
    </row>
    <row r="105" spans="1:47" s="99" customFormat="1" ht="77.25" customHeight="1" x14ac:dyDescent="0.35">
      <c r="A105" s="99" t="s">
        <v>99</v>
      </c>
      <c r="B105" s="200">
        <v>300</v>
      </c>
      <c r="C105" s="99">
        <v>1</v>
      </c>
      <c r="D105" s="197">
        <f t="shared" si="69"/>
        <v>300</v>
      </c>
      <c r="E105" s="197">
        <f>D105*12</f>
        <v>3600</v>
      </c>
      <c r="G105" s="199">
        <f>B105*12</f>
        <v>3600</v>
      </c>
      <c r="H105" s="201"/>
      <c r="K105" s="176" t="str">
        <f t="shared" si="61"/>
        <v>Transportation</v>
      </c>
      <c r="L105" s="173">
        <f t="shared" si="66"/>
        <v>0</v>
      </c>
      <c r="N105" s="87" t="str">
        <f t="shared" si="58"/>
        <v>Transportation</v>
      </c>
      <c r="O105" s="174">
        <f t="shared" si="67"/>
        <v>0</v>
      </c>
      <c r="Q105" s="87" t="str">
        <f t="shared" si="59"/>
        <v>Transportation</v>
      </c>
      <c r="R105" s="174">
        <f t="shared" si="68"/>
        <v>0</v>
      </c>
      <c r="V105" s="203">
        <f>SUM(V101:V104)</f>
        <v>561347.27377114177</v>
      </c>
      <c r="X105" s="203">
        <f>SUM(X101:X104)</f>
        <v>-68772</v>
      </c>
    </row>
    <row r="106" spans="1:47" s="99" customFormat="1" ht="77.25" customHeight="1" x14ac:dyDescent="0.35">
      <c r="A106" s="99" t="s">
        <v>100</v>
      </c>
      <c r="B106" s="197">
        <v>600</v>
      </c>
      <c r="C106" s="99">
        <v>2</v>
      </c>
      <c r="D106" s="197">
        <f t="shared" si="69"/>
        <v>1200</v>
      </c>
      <c r="E106" s="197">
        <f>D106*12</f>
        <v>14400</v>
      </c>
      <c r="G106" s="199">
        <f>D106*12</f>
        <v>14400</v>
      </c>
      <c r="J106" s="147"/>
      <c r="K106" s="176" t="str">
        <f t="shared" si="61"/>
        <v>Staff Residences Expenses</v>
      </c>
      <c r="L106" s="173">
        <f t="shared" si="66"/>
        <v>480</v>
      </c>
      <c r="N106" s="87" t="str">
        <f t="shared" si="58"/>
        <v>Staff Residences Expenses</v>
      </c>
      <c r="O106" s="174">
        <f t="shared" si="67"/>
        <v>480</v>
      </c>
      <c r="Q106" s="87" t="str">
        <f t="shared" si="59"/>
        <v>Staff Residences Expenses</v>
      </c>
      <c r="R106" s="174">
        <f t="shared" si="68"/>
        <v>480</v>
      </c>
      <c r="V106" s="204">
        <f>V105-AD65</f>
        <v>561347.27377114177</v>
      </c>
    </row>
    <row r="107" spans="1:47" s="99" customFormat="1" ht="77.25" customHeight="1" x14ac:dyDescent="0.35">
      <c r="A107" s="99" t="s">
        <v>101</v>
      </c>
      <c r="B107" s="197">
        <v>1000</v>
      </c>
      <c r="C107" s="198">
        <v>0</v>
      </c>
      <c r="D107" s="197">
        <f t="shared" si="69"/>
        <v>0</v>
      </c>
      <c r="E107" s="197">
        <f t="shared" ref="E107:E108" si="70">D107*12</f>
        <v>0</v>
      </c>
      <c r="F107" s="198" t="s">
        <v>96</v>
      </c>
      <c r="G107" s="199">
        <f>B107*3</f>
        <v>3000</v>
      </c>
      <c r="I107" s="186">
        <f>E105+E107+E108+E109</f>
        <v>13200</v>
      </c>
      <c r="K107" s="176" t="str">
        <f t="shared" si="61"/>
        <v>Bank Charges</v>
      </c>
      <c r="L107" s="173">
        <f t="shared" si="66"/>
        <v>456</v>
      </c>
      <c r="N107" s="87" t="str">
        <f t="shared" si="58"/>
        <v>Bank Charges</v>
      </c>
      <c r="O107" s="174">
        <f t="shared" si="67"/>
        <v>11352</v>
      </c>
      <c r="Q107" s="87" t="str">
        <f t="shared" si="59"/>
        <v>Bank Charges</v>
      </c>
      <c r="R107" s="174">
        <f t="shared" si="68"/>
        <v>15087</v>
      </c>
      <c r="V107" s="99">
        <v>409847.27377114177</v>
      </c>
      <c r="X107" s="205"/>
    </row>
    <row r="108" spans="1:47" s="99" customFormat="1" ht="77.25" customHeight="1" x14ac:dyDescent="0.35">
      <c r="A108" s="99" t="s">
        <v>102</v>
      </c>
      <c r="B108" s="200">
        <v>500</v>
      </c>
      <c r="C108" s="99">
        <v>1</v>
      </c>
      <c r="D108" s="197">
        <f t="shared" si="69"/>
        <v>500</v>
      </c>
      <c r="E108" s="197">
        <f t="shared" si="70"/>
        <v>6000</v>
      </c>
      <c r="G108" s="199">
        <f>B108*12</f>
        <v>6000</v>
      </c>
      <c r="H108" s="201"/>
      <c r="I108" s="186">
        <f>E105+E109</f>
        <v>7200</v>
      </c>
      <c r="J108" s="186">
        <f>E107+E108</f>
        <v>6000</v>
      </c>
      <c r="K108" s="176" t="str">
        <f t="shared" si="61"/>
        <v>Finance (Interest) Charges</v>
      </c>
      <c r="L108" s="173">
        <f t="shared" si="66"/>
        <v>0</v>
      </c>
      <c r="N108" s="87" t="str">
        <f t="shared" si="58"/>
        <v>Finance (Interest) Charges</v>
      </c>
      <c r="O108" s="174">
        <f t="shared" si="67"/>
        <v>0</v>
      </c>
      <c r="Q108" s="87" t="str">
        <f t="shared" si="59"/>
        <v>Finance (Interest) Charges</v>
      </c>
      <c r="R108" s="174">
        <f t="shared" si="68"/>
        <v>0</v>
      </c>
      <c r="V108" s="186">
        <f>V107-V105</f>
        <v>-151500</v>
      </c>
    </row>
    <row r="109" spans="1:47" s="99" customFormat="1" ht="77.25" customHeight="1" x14ac:dyDescent="0.35">
      <c r="A109" s="99" t="s">
        <v>103</v>
      </c>
      <c r="B109" s="197">
        <v>300</v>
      </c>
      <c r="C109" s="198">
        <v>1</v>
      </c>
      <c r="D109" s="197">
        <f t="shared" si="69"/>
        <v>300</v>
      </c>
      <c r="E109" s="197">
        <f>D109*12</f>
        <v>3600</v>
      </c>
      <c r="F109" s="198" t="s">
        <v>96</v>
      </c>
      <c r="G109" s="199">
        <f>D109*3</f>
        <v>900</v>
      </c>
      <c r="H109" s="201"/>
      <c r="I109" s="147">
        <f>I108/AS59</f>
        <v>5.0606576043409193E-2</v>
      </c>
      <c r="J109" s="147">
        <f>J108/AS59</f>
        <v>4.2172146702840994E-2</v>
      </c>
      <c r="K109" s="176"/>
      <c r="L109" s="173"/>
      <c r="N109" s="87">
        <f t="shared" si="58"/>
        <v>0</v>
      </c>
      <c r="O109" s="174"/>
      <c r="Q109" s="87">
        <f t="shared" si="59"/>
        <v>0</v>
      </c>
      <c r="R109" s="174"/>
    </row>
    <row r="110" spans="1:47" s="99" customFormat="1" ht="77.25" customHeight="1" x14ac:dyDescent="0.35">
      <c r="A110" s="99" t="s">
        <v>104</v>
      </c>
      <c r="B110" s="197">
        <v>450</v>
      </c>
      <c r="C110" s="198">
        <v>0</v>
      </c>
      <c r="D110" s="197">
        <f t="shared" si="69"/>
        <v>0</v>
      </c>
      <c r="E110" s="197">
        <f>D110*12</f>
        <v>0</v>
      </c>
      <c r="F110" s="198" t="s">
        <v>96</v>
      </c>
      <c r="G110" s="199">
        <f t="shared" ref="G110" si="71">B110*3</f>
        <v>1350</v>
      </c>
      <c r="H110" s="201"/>
      <c r="K110" s="176" t="str">
        <f>A54</f>
        <v>IT and Software</v>
      </c>
      <c r="L110" s="173">
        <f>SUM(C54:N54)</f>
        <v>300</v>
      </c>
      <c r="N110" s="87" t="str">
        <f t="shared" si="58"/>
        <v>IT and Software</v>
      </c>
      <c r="O110" s="174">
        <f>SUM(O54:Z54)</f>
        <v>300</v>
      </c>
      <c r="Q110" s="87" t="str">
        <f t="shared" si="59"/>
        <v>IT and Software</v>
      </c>
      <c r="R110" s="174">
        <f>SUM(AA54:AL54)</f>
        <v>300</v>
      </c>
    </row>
    <row r="111" spans="1:47" s="99" customFormat="1" ht="77.25" customHeight="1" x14ac:dyDescent="0.35">
      <c r="A111" s="99" t="s">
        <v>105</v>
      </c>
      <c r="B111" s="200">
        <v>180</v>
      </c>
      <c r="D111" s="197">
        <v>0</v>
      </c>
      <c r="E111" s="197">
        <f>D111*12</f>
        <v>0</v>
      </c>
      <c r="G111" s="199">
        <f>B111*12</f>
        <v>2160</v>
      </c>
      <c r="K111" s="176" t="str">
        <f>A55</f>
        <v>Miscellaneous Expenses</v>
      </c>
      <c r="L111" s="173">
        <f>SUM(C55:N55)</f>
        <v>300</v>
      </c>
      <c r="N111" s="87" t="str">
        <f t="shared" si="58"/>
        <v>Miscellaneous Expenses</v>
      </c>
      <c r="O111" s="174">
        <f>SUM(O55:Z55)</f>
        <v>300</v>
      </c>
      <c r="Q111" s="87" t="str">
        <f t="shared" si="59"/>
        <v>Miscellaneous Expenses</v>
      </c>
      <c r="R111" s="174">
        <f>SUM(AA55:AL55)</f>
        <v>300</v>
      </c>
    </row>
    <row r="112" spans="1:47" ht="45.75" customHeight="1" x14ac:dyDescent="0.35">
      <c r="A112" s="3"/>
      <c r="B112" s="3"/>
      <c r="E112" s="630" t="s">
        <v>100</v>
      </c>
      <c r="F112" s="630"/>
      <c r="G112" s="199">
        <f>SUM(C31:N31)</f>
        <v>0</v>
      </c>
      <c r="H112" s="206">
        <f>SUM(G102:G112)</f>
        <v>57520</v>
      </c>
      <c r="K112" s="176" t="str">
        <f>A56</f>
        <v>Cleaning Expenses</v>
      </c>
      <c r="L112" s="173">
        <f>SUM(C56:N56)</f>
        <v>300</v>
      </c>
      <c r="N112" s="87" t="str">
        <f t="shared" si="58"/>
        <v>Cleaning Expenses</v>
      </c>
      <c r="O112" s="174">
        <f>SUM(O56:Z56)</f>
        <v>300</v>
      </c>
      <c r="Q112" s="87" t="str">
        <f t="shared" si="59"/>
        <v>Cleaning Expenses</v>
      </c>
      <c r="R112" s="174">
        <f>SUM(AA56:AL56)</f>
        <v>300</v>
      </c>
      <c r="AN112" s="99"/>
      <c r="AO112" s="99"/>
      <c r="AP112" s="99"/>
    </row>
    <row r="113" spans="1:42" ht="42.75" customHeight="1" x14ac:dyDescent="0.4">
      <c r="A113" s="3"/>
      <c r="B113" s="3"/>
      <c r="C113" s="207">
        <f>SUM(C102:C112)</f>
        <v>7</v>
      </c>
      <c r="D113" s="207">
        <f>SUM(D102:D112)</f>
        <v>5230</v>
      </c>
      <c r="E113" s="207">
        <f>SUM(E102:E112)</f>
        <v>62760</v>
      </c>
      <c r="F113" s="208"/>
      <c r="G113" s="209" t="s">
        <v>106</v>
      </c>
      <c r="H113" s="209"/>
      <c r="K113" s="176" t="str">
        <f t="shared" ref="K113" si="72">A58</f>
        <v>Social Security</v>
      </c>
      <c r="L113" s="173">
        <f t="shared" ref="L113" si="73">SUM(C58:N58)</f>
        <v>0</v>
      </c>
      <c r="N113" s="87" t="str">
        <f t="shared" si="58"/>
        <v>Social Security</v>
      </c>
      <c r="O113" s="174">
        <f t="shared" ref="O113" si="74">SUM(O58:Z58)</f>
        <v>0</v>
      </c>
      <c r="Q113" s="87" t="str">
        <f t="shared" si="59"/>
        <v>Social Security</v>
      </c>
      <c r="R113" s="174">
        <f t="shared" ref="R113" si="75">SUM(AA58:AL58)</f>
        <v>0</v>
      </c>
    </row>
    <row r="114" spans="1:42" ht="12.75" customHeight="1" x14ac:dyDescent="0.35">
      <c r="A114" s="3"/>
      <c r="B114" s="3"/>
      <c r="K114" s="176"/>
      <c r="L114" s="210"/>
    </row>
    <row r="115" spans="1:42" ht="12.75" customHeight="1" x14ac:dyDescent="0.35">
      <c r="A115" s="3"/>
      <c r="B115" s="3"/>
      <c r="K115" s="176"/>
      <c r="L115" s="49"/>
    </row>
    <row r="116" spans="1:42" ht="33.75" customHeight="1" x14ac:dyDescent="0.35">
      <c r="A116" s="628" t="s">
        <v>107</v>
      </c>
      <c r="B116" s="628"/>
      <c r="C116" s="628"/>
      <c r="D116" s="628"/>
      <c r="E116" s="628"/>
      <c r="F116" s="628"/>
      <c r="G116" s="187"/>
      <c r="K116" s="211" t="s">
        <v>108</v>
      </c>
      <c r="L116" s="212">
        <f>SUM(L86:L113)</f>
        <v>107011.77630769231</v>
      </c>
      <c r="N116" s="97" t="str">
        <f t="shared" si="58"/>
        <v>Total Expenses</v>
      </c>
      <c r="O116" s="189">
        <f>SUM(O86:O113)</f>
        <v>512908.92307692306</v>
      </c>
      <c r="Q116" s="97" t="str">
        <f t="shared" ref="Q116" si="76">N116</f>
        <v>Total Expenses</v>
      </c>
      <c r="R116" s="189">
        <f>SUM(R86:R113)</f>
        <v>609536.23076923075</v>
      </c>
      <c r="AM116" s="100"/>
    </row>
    <row r="117" spans="1:42" ht="110.25" customHeight="1" x14ac:dyDescent="0.35">
      <c r="A117" s="191" t="s">
        <v>85</v>
      </c>
      <c r="B117" s="191" t="s">
        <v>86</v>
      </c>
      <c r="C117" s="191" t="s">
        <v>87</v>
      </c>
      <c r="D117" s="191" t="s">
        <v>88</v>
      </c>
      <c r="E117" s="191" t="s">
        <v>89</v>
      </c>
      <c r="F117" s="191" t="s">
        <v>90</v>
      </c>
      <c r="G117" s="191" t="s">
        <v>109</v>
      </c>
      <c r="K117" s="97" t="s">
        <v>123</v>
      </c>
      <c r="L117" s="213">
        <f>-L116+L85</f>
        <v>35262.223692307685</v>
      </c>
      <c r="N117" s="97" t="s">
        <v>123</v>
      </c>
      <c r="O117" s="214">
        <f>-O116+O85</f>
        <v>235091.07692307694</v>
      </c>
      <c r="Q117" s="97" t="s">
        <v>123</v>
      </c>
      <c r="R117" s="214">
        <f>-R116+R85</f>
        <v>387463.76923076925</v>
      </c>
      <c r="S117" s="129">
        <f>R117+O117+L117</f>
        <v>657817.06984615396</v>
      </c>
      <c r="T117" s="215">
        <f>S117-AM61</f>
        <v>3874.6376923078205</v>
      </c>
      <c r="AM117" s="100"/>
    </row>
    <row r="118" spans="1:42" ht="26.25" customHeight="1" x14ac:dyDescent="0.35">
      <c r="A118" s="3"/>
      <c r="B118" s="3"/>
      <c r="L118" s="216">
        <f>L116-AN60</f>
        <v>12500.000000000015</v>
      </c>
      <c r="Q118" s="97">
        <f t="shared" ref="Q118" si="77">N118</f>
        <v>0</v>
      </c>
      <c r="AM118" s="100"/>
    </row>
    <row r="119" spans="1:42" s="99" customFormat="1" ht="77.25" customHeight="1" x14ac:dyDescent="0.35">
      <c r="A119" s="99" t="s">
        <v>110</v>
      </c>
      <c r="B119" s="197">
        <v>0</v>
      </c>
      <c r="C119" s="99">
        <v>0</v>
      </c>
      <c r="D119" s="197">
        <f>B119*C119</f>
        <v>0</v>
      </c>
      <c r="E119" s="197">
        <f>D119*12</f>
        <v>0</v>
      </c>
      <c r="F119" s="198" t="s">
        <v>96</v>
      </c>
      <c r="K119" s="217">
        <f>L116*20%</f>
        <v>21402.355261538465</v>
      </c>
      <c r="L119" s="218">
        <v>-237845.35745826189</v>
      </c>
      <c r="M119" s="98"/>
      <c r="N119" s="98"/>
      <c r="O119" s="219">
        <v>-134100.6900708343</v>
      </c>
      <c r="P119" s="98"/>
      <c r="Q119" s="98"/>
      <c r="R119" s="219"/>
      <c r="AN119" s="100"/>
      <c r="AO119" s="100"/>
      <c r="AP119" s="100"/>
    </row>
    <row r="120" spans="1:42" s="99" customFormat="1" ht="77.25" customHeight="1" x14ac:dyDescent="0.35">
      <c r="A120" s="99" t="s">
        <v>111</v>
      </c>
      <c r="B120" s="197">
        <v>0</v>
      </c>
      <c r="C120" s="99">
        <v>0</v>
      </c>
      <c r="D120" s="197">
        <f t="shared" ref="D120:D122" si="78">B120*C120</f>
        <v>0</v>
      </c>
      <c r="E120" s="197">
        <f>D120*12</f>
        <v>0</v>
      </c>
      <c r="F120" s="198" t="s">
        <v>96</v>
      </c>
      <c r="K120" s="220">
        <f>L116-K119</f>
        <v>85609.421046153846</v>
      </c>
      <c r="L120" s="205">
        <f>L119-L117</f>
        <v>-273107.5811505696</v>
      </c>
      <c r="O120" s="197">
        <f>O119-O117</f>
        <v>-369191.76699391124</v>
      </c>
      <c r="R120" s="197"/>
    </row>
    <row r="121" spans="1:42" s="99" customFormat="1" ht="77.25" customHeight="1" x14ac:dyDescent="0.35">
      <c r="A121" s="99" t="s">
        <v>102</v>
      </c>
      <c r="B121" s="197">
        <v>0</v>
      </c>
      <c r="C121" s="99">
        <v>0</v>
      </c>
      <c r="D121" s="197">
        <f t="shared" si="78"/>
        <v>0</v>
      </c>
      <c r="E121" s="197">
        <f>D121*12</f>
        <v>0</v>
      </c>
      <c r="F121" s="198" t="s">
        <v>96</v>
      </c>
      <c r="O121" s="197"/>
      <c r="R121" s="197"/>
    </row>
    <row r="122" spans="1:42" s="99" customFormat="1" ht="77.25" customHeight="1" x14ac:dyDescent="0.35">
      <c r="A122" s="99" t="s">
        <v>112</v>
      </c>
      <c r="B122" s="197">
        <v>0</v>
      </c>
      <c r="C122" s="99">
        <v>0</v>
      </c>
      <c r="D122" s="197">
        <f t="shared" si="78"/>
        <v>0</v>
      </c>
      <c r="E122" s="197">
        <f>D122*12</f>
        <v>0</v>
      </c>
      <c r="O122" s="197"/>
      <c r="R122" s="197"/>
    </row>
    <row r="123" spans="1:42" s="99" customFormat="1" ht="77.25" customHeight="1" x14ac:dyDescent="0.35">
      <c r="B123" s="197"/>
      <c r="C123" s="43">
        <f>SUM(C119:C122)</f>
        <v>0</v>
      </c>
      <c r="D123" s="221">
        <f>SUM(D119:D122)</f>
        <v>0</v>
      </c>
      <c r="E123" s="221">
        <f>SUM(E119:E122)</f>
        <v>0</v>
      </c>
      <c r="F123" s="186">
        <f>E123+E113</f>
        <v>62760</v>
      </c>
      <c r="O123" s="197"/>
      <c r="R123" s="197"/>
    </row>
    <row r="124" spans="1:42" s="99" customFormat="1" ht="77.25" customHeight="1" x14ac:dyDescent="0.35">
      <c r="A124" s="99" t="s">
        <v>113</v>
      </c>
      <c r="B124" s="197"/>
      <c r="C124" s="221">
        <f>C113</f>
        <v>7</v>
      </c>
      <c r="D124" s="221">
        <f>D113</f>
        <v>5230</v>
      </c>
      <c r="E124" s="221">
        <f>E113</f>
        <v>62760</v>
      </c>
      <c r="F124" s="97"/>
      <c r="G124" s="97" t="s">
        <v>114</v>
      </c>
      <c r="H124" s="97"/>
      <c r="I124" s="222"/>
      <c r="O124" s="197"/>
      <c r="R124" s="197"/>
    </row>
    <row r="125" spans="1:42" ht="12.75" customHeight="1" x14ac:dyDescent="0.35">
      <c r="A125" s="3"/>
      <c r="B125" s="3"/>
      <c r="AM125" s="100"/>
      <c r="AN125" s="99"/>
      <c r="AO125" s="99"/>
      <c r="AP125" s="99"/>
    </row>
    <row r="126" spans="1:42" ht="33.75" customHeight="1" x14ac:dyDescent="0.35">
      <c r="B126" s="187"/>
      <c r="C126" s="187" t="s">
        <v>115</v>
      </c>
      <c r="D126" s="187"/>
      <c r="E126" s="187"/>
      <c r="F126" s="187"/>
      <c r="G126" s="187"/>
      <c r="AM126" s="100"/>
    </row>
    <row r="127" spans="1:42" ht="110.25" customHeight="1" x14ac:dyDescent="0.35">
      <c r="A127" s="191" t="s">
        <v>85</v>
      </c>
      <c r="B127" s="191" t="s">
        <v>86</v>
      </c>
      <c r="C127" s="191" t="s">
        <v>87</v>
      </c>
      <c r="D127" s="191" t="s">
        <v>88</v>
      </c>
      <c r="E127" s="191" t="s">
        <v>89</v>
      </c>
      <c r="F127" s="191" t="s">
        <v>90</v>
      </c>
      <c r="G127" s="191" t="s">
        <v>109</v>
      </c>
      <c r="AC127" s="43" t="s">
        <v>116</v>
      </c>
      <c r="AD127" s="223">
        <f>AD126</f>
        <v>0</v>
      </c>
      <c r="AE127" s="223">
        <f>AD127+AE126</f>
        <v>0</v>
      </c>
      <c r="AF127" s="223">
        <f>AE127+AF126</f>
        <v>0</v>
      </c>
      <c r="AG127" s="223">
        <f>AF127+AG126</f>
        <v>0</v>
      </c>
      <c r="AH127" s="223">
        <f>AG127+AH126</f>
        <v>0</v>
      </c>
      <c r="AI127" s="223">
        <f t="shared" ref="AI127:AL127" si="79">AH127+AI126</f>
        <v>0</v>
      </c>
      <c r="AJ127" s="223">
        <f t="shared" si="79"/>
        <v>0</v>
      </c>
      <c r="AK127" s="223">
        <f t="shared" si="79"/>
        <v>0</v>
      </c>
      <c r="AL127" s="223">
        <f t="shared" si="79"/>
        <v>0</v>
      </c>
      <c r="AM127" s="100"/>
    </row>
    <row r="128" spans="1:42" s="99" customFormat="1" ht="77.25" customHeight="1" x14ac:dyDescent="0.35">
      <c r="A128" s="99" t="s">
        <v>117</v>
      </c>
      <c r="B128" s="197">
        <v>800</v>
      </c>
      <c r="C128" s="99">
        <v>0</v>
      </c>
      <c r="D128" s="197">
        <f>B128*C128</f>
        <v>0</v>
      </c>
      <c r="E128" s="197">
        <f>D128*12</f>
        <v>0</v>
      </c>
      <c r="F128" s="198" t="s">
        <v>96</v>
      </c>
      <c r="O128" s="197"/>
      <c r="R128" s="197"/>
      <c r="AN128" s="100"/>
      <c r="AO128" s="100"/>
      <c r="AP128" s="100"/>
    </row>
    <row r="129" spans="1:42" s="99" customFormat="1" ht="77.25" customHeight="1" x14ac:dyDescent="0.35">
      <c r="A129" s="99" t="s">
        <v>118</v>
      </c>
      <c r="B129" s="197">
        <v>450</v>
      </c>
      <c r="C129" s="99">
        <v>0</v>
      </c>
      <c r="D129" s="197">
        <f t="shared" ref="D129:D130" si="80">B129*C129</f>
        <v>0</v>
      </c>
      <c r="E129" s="197">
        <f t="shared" ref="E129:E130" si="81">D129*12</f>
        <v>0</v>
      </c>
      <c r="F129" s="198" t="s">
        <v>96</v>
      </c>
      <c r="O129" s="197"/>
      <c r="R129" s="197"/>
    </row>
    <row r="130" spans="1:42" s="99" customFormat="1" ht="77.25" customHeight="1" x14ac:dyDescent="0.35">
      <c r="A130" s="99" t="s">
        <v>119</v>
      </c>
      <c r="B130" s="197">
        <v>1400</v>
      </c>
      <c r="C130" s="99">
        <v>0</v>
      </c>
      <c r="D130" s="197">
        <f t="shared" si="80"/>
        <v>0</v>
      </c>
      <c r="E130" s="197">
        <f t="shared" si="81"/>
        <v>0</v>
      </c>
      <c r="F130" s="198" t="s">
        <v>96</v>
      </c>
      <c r="O130" s="197"/>
      <c r="R130" s="197"/>
    </row>
    <row r="131" spans="1:42" s="99" customFormat="1" ht="77.25" customHeight="1" x14ac:dyDescent="0.35">
      <c r="A131" s="99" t="s">
        <v>120</v>
      </c>
      <c r="B131" s="197">
        <f>14</f>
        <v>14</v>
      </c>
      <c r="D131" s="197">
        <v>0</v>
      </c>
      <c r="E131" s="197">
        <f>D131*12</f>
        <v>0</v>
      </c>
      <c r="O131" s="197"/>
      <c r="R131" s="197"/>
    </row>
    <row r="132" spans="1:42" s="99" customFormat="1" ht="77.25" customHeight="1" x14ac:dyDescent="0.35">
      <c r="A132" s="99" t="s">
        <v>121</v>
      </c>
      <c r="B132" s="197"/>
      <c r="C132" s="43">
        <f>SUM(C128:C131)</f>
        <v>0</v>
      </c>
      <c r="D132" s="221">
        <f>D124</f>
        <v>5230</v>
      </c>
      <c r="E132" s="221">
        <f>E124</f>
        <v>62760</v>
      </c>
      <c r="F132" s="186"/>
      <c r="O132" s="197"/>
      <c r="R132" s="197"/>
    </row>
    <row r="133" spans="1:42" ht="39.75" customHeight="1" x14ac:dyDescent="0.85">
      <c r="B133" s="3"/>
      <c r="C133" s="224"/>
      <c r="D133" s="224"/>
      <c r="E133" s="224"/>
      <c r="F133" s="225">
        <f>SUM(C30:AL30)</f>
        <v>294000</v>
      </c>
      <c r="G133" s="224">
        <f>F133-AM30</f>
        <v>0</v>
      </c>
      <c r="H133" s="100"/>
      <c r="I133" s="100"/>
      <c r="J133" s="100"/>
      <c r="K133" s="100"/>
      <c r="L133" s="100"/>
      <c r="M133" s="100"/>
      <c r="N133" s="100"/>
      <c r="O133" s="226"/>
      <c r="P133" s="100"/>
      <c r="Q133" s="100"/>
      <c r="R133" s="226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99"/>
      <c r="AO133" s="99"/>
      <c r="AP133" s="99"/>
    </row>
    <row r="134" spans="1:42" ht="12.75" customHeight="1" x14ac:dyDescent="0.35">
      <c r="A134" s="3"/>
      <c r="B134" s="3"/>
      <c r="H134" s="100"/>
      <c r="I134" s="100"/>
      <c r="J134" s="100"/>
      <c r="K134" s="100"/>
      <c r="L134" s="100"/>
      <c r="M134" s="100"/>
      <c r="N134" s="100"/>
      <c r="O134" s="226"/>
      <c r="P134" s="100"/>
      <c r="Q134" s="100"/>
      <c r="R134" s="226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</row>
    <row r="135" spans="1:42" ht="36.75" customHeight="1" x14ac:dyDescent="0.35">
      <c r="A135" s="626" t="s">
        <v>122</v>
      </c>
      <c r="B135" s="626"/>
      <c r="C135" s="227">
        <f>C113+C123+C132</f>
        <v>7</v>
      </c>
      <c r="D135" s="224"/>
      <c r="E135" s="224"/>
      <c r="H135" s="100"/>
      <c r="I135" s="100"/>
      <c r="J135" s="100"/>
      <c r="K135" s="100"/>
      <c r="L135" s="100"/>
      <c r="M135" s="100"/>
      <c r="N135" s="100"/>
      <c r="O135" s="226"/>
      <c r="P135" s="100"/>
      <c r="Q135" s="100"/>
      <c r="R135" s="226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</row>
    <row r="136" spans="1:42" ht="12.75" customHeight="1" x14ac:dyDescent="0.35"/>
  </sheetData>
  <mergeCells count="9">
    <mergeCell ref="A135:B135"/>
    <mergeCell ref="C1:N1"/>
    <mergeCell ref="O1:Z1"/>
    <mergeCell ref="AA1:AL1"/>
    <mergeCell ref="AS55:AU55"/>
    <mergeCell ref="A98:F98"/>
    <mergeCell ref="A99:F99"/>
    <mergeCell ref="E112:F112"/>
    <mergeCell ref="A116:F116"/>
  </mergeCells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34"/>
  <sheetViews>
    <sheetView topLeftCell="A30" workbookViewId="0">
      <selection activeCell="AO36" sqref="AO36"/>
    </sheetView>
  </sheetViews>
  <sheetFormatPr defaultColWidth="9.1796875" defaultRowHeight="19" x14ac:dyDescent="0.4"/>
  <cols>
    <col min="1" max="1" width="42.1796875" style="228" customWidth="1"/>
    <col min="2" max="2" width="19.7265625" style="228" customWidth="1"/>
    <col min="3" max="3" width="22.1796875" style="338" customWidth="1"/>
    <col min="4" max="4" width="21.7265625" style="338" bestFit="1" customWidth="1"/>
    <col min="5" max="5" width="19.453125" style="338" bestFit="1" customWidth="1"/>
    <col min="6" max="6" width="23.453125" style="338" bestFit="1" customWidth="1"/>
    <col min="7" max="7" width="23.453125" style="338" customWidth="1"/>
    <col min="8" max="10" width="23.54296875" style="338" bestFit="1" customWidth="1"/>
    <col min="11" max="11" width="21.26953125" style="131" customWidth="1"/>
    <col min="12" max="13" width="23.7265625" style="338" customWidth="1"/>
    <col min="14" max="14" width="23.7265625" style="131" customWidth="1"/>
    <col min="15" max="16" width="23.7265625" style="338" customWidth="1"/>
    <col min="17" max="17" width="23.7265625" style="131" customWidth="1"/>
    <col min="18" max="26" width="23.7265625" style="338" customWidth="1"/>
    <col min="27" max="27" width="28.26953125" style="338" customWidth="1"/>
    <col min="28" max="38" width="23.7265625" style="338" customWidth="1"/>
    <col min="39" max="39" width="23.7265625" style="339" customWidth="1"/>
    <col min="40" max="40" width="24.7265625" style="263" customWidth="1"/>
    <col min="41" max="41" width="21.7265625" style="263" bestFit="1" customWidth="1"/>
    <col min="42" max="42" width="24" style="263" bestFit="1" customWidth="1"/>
    <col min="43" max="43" width="14.81640625" style="263" bestFit="1" customWidth="1"/>
    <col min="44" max="44" width="16.54296875" style="263" customWidth="1"/>
    <col min="45" max="45" width="23.26953125" style="263" bestFit="1" customWidth="1"/>
    <col min="46" max="46" width="20.453125" style="263" customWidth="1"/>
    <col min="47" max="47" width="23.1796875" style="263" bestFit="1" customWidth="1"/>
    <col min="48" max="51" width="16.54296875" style="228" customWidth="1"/>
    <col min="52" max="16384" width="9.1796875" style="228"/>
  </cols>
  <sheetData>
    <row r="1" spans="1:48" ht="12.75" customHeight="1" x14ac:dyDescent="0.35">
      <c r="A1" s="632" t="s">
        <v>0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  <c r="X1" s="632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</row>
    <row r="2" spans="1:48" s="3" customFormat="1" ht="24" customHeight="1" x14ac:dyDescent="0.5">
      <c r="A2" s="1" t="s">
        <v>1</v>
      </c>
      <c r="B2" s="2" t="s">
        <v>2</v>
      </c>
      <c r="C2" s="264"/>
      <c r="D2" s="264"/>
      <c r="E2" s="264"/>
      <c r="F2" s="264"/>
      <c r="G2" s="264"/>
      <c r="H2" s="264"/>
      <c r="I2" s="264"/>
      <c r="J2" s="264"/>
      <c r="K2" s="104"/>
      <c r="L2" s="264"/>
      <c r="M2" s="264"/>
      <c r="N2" s="104"/>
      <c r="O2" s="264"/>
      <c r="P2" s="264"/>
      <c r="Q2" s="10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5"/>
      <c r="AN2" s="68"/>
      <c r="AO2" s="68"/>
      <c r="AP2" s="68"/>
      <c r="AQ2" s="68"/>
      <c r="AR2" s="68"/>
      <c r="AS2" s="68"/>
      <c r="AT2" s="68"/>
      <c r="AU2" s="68"/>
    </row>
    <row r="3" spans="1:48" s="232" customFormat="1" ht="30" customHeight="1" x14ac:dyDescent="0.5">
      <c r="A3" s="229" t="s">
        <v>133</v>
      </c>
      <c r="B3" s="230">
        <v>5</v>
      </c>
      <c r="C3" s="264">
        <v>50</v>
      </c>
      <c r="D3" s="264">
        <v>50</v>
      </c>
      <c r="E3" s="264">
        <v>50</v>
      </c>
      <c r="F3" s="264">
        <v>50</v>
      </c>
      <c r="G3" s="264">
        <v>50</v>
      </c>
      <c r="H3" s="264">
        <v>50</v>
      </c>
      <c r="I3" s="264">
        <v>50</v>
      </c>
      <c r="J3" s="264">
        <v>50</v>
      </c>
      <c r="K3" s="104">
        <v>50</v>
      </c>
      <c r="L3" s="264">
        <v>50</v>
      </c>
      <c r="M3" s="264">
        <v>0</v>
      </c>
      <c r="N3" s="104">
        <v>0</v>
      </c>
      <c r="O3" s="264">
        <v>0</v>
      </c>
      <c r="P3" s="264">
        <v>1500</v>
      </c>
      <c r="Q3" s="104">
        <v>4500</v>
      </c>
      <c r="R3" s="264">
        <v>6500</v>
      </c>
      <c r="S3" s="264">
        <v>0</v>
      </c>
      <c r="T3" s="264">
        <v>0</v>
      </c>
      <c r="U3" s="264">
        <v>6500</v>
      </c>
      <c r="V3" s="264">
        <v>10000</v>
      </c>
      <c r="W3" s="264">
        <v>10000</v>
      </c>
      <c r="X3" s="264">
        <v>0</v>
      </c>
      <c r="Y3" s="264">
        <v>0</v>
      </c>
      <c r="Z3" s="264">
        <v>0</v>
      </c>
      <c r="AA3" s="264">
        <v>0</v>
      </c>
      <c r="AB3" s="264">
        <v>5000</v>
      </c>
      <c r="AC3" s="264">
        <v>7500</v>
      </c>
      <c r="AD3" s="264">
        <v>10000</v>
      </c>
      <c r="AE3" s="264">
        <v>0</v>
      </c>
      <c r="AF3" s="264">
        <v>0</v>
      </c>
      <c r="AG3" s="264">
        <v>7500</v>
      </c>
      <c r="AH3" s="264">
        <v>10000</v>
      </c>
      <c r="AI3" s="264">
        <v>10000</v>
      </c>
      <c r="AJ3" s="264">
        <v>0</v>
      </c>
      <c r="AK3" s="264">
        <v>0</v>
      </c>
      <c r="AL3" s="264">
        <v>0</v>
      </c>
      <c r="AM3" s="231">
        <f>SUM(C3:AL3)</f>
        <v>89500</v>
      </c>
      <c r="AN3" s="266">
        <f t="shared" ref="AN3:AN6" si="0">SUM(C3:N3)</f>
        <v>500</v>
      </c>
      <c r="AO3" s="266">
        <f t="shared" ref="AO3:AO6" si="1">SUM(O3:Z3)</f>
        <v>39000</v>
      </c>
      <c r="AP3" s="266">
        <f t="shared" ref="AP3:AP6" si="2">SUM(AA3:AL3)</f>
        <v>50000</v>
      </c>
      <c r="AQ3" s="267"/>
      <c r="AR3" s="267"/>
      <c r="AS3" s="267"/>
      <c r="AT3" s="267"/>
      <c r="AU3" s="267"/>
    </row>
    <row r="4" spans="1:48" s="232" customFormat="1" ht="30" customHeight="1" x14ac:dyDescent="0.5">
      <c r="A4" s="229" t="s">
        <v>134</v>
      </c>
      <c r="B4" s="230">
        <v>5</v>
      </c>
      <c r="C4" s="264">
        <v>50</v>
      </c>
      <c r="D4" s="264">
        <v>50</v>
      </c>
      <c r="E4" s="264">
        <v>50</v>
      </c>
      <c r="F4" s="264">
        <v>50</v>
      </c>
      <c r="G4" s="264">
        <v>50</v>
      </c>
      <c r="H4" s="264">
        <v>50</v>
      </c>
      <c r="I4" s="264">
        <v>50</v>
      </c>
      <c r="J4" s="264">
        <v>50</v>
      </c>
      <c r="K4" s="104">
        <v>50</v>
      </c>
      <c r="L4" s="264">
        <v>50</v>
      </c>
      <c r="M4" s="264">
        <v>0</v>
      </c>
      <c r="N4" s="104">
        <v>0</v>
      </c>
      <c r="O4" s="264">
        <v>0</v>
      </c>
      <c r="P4" s="264">
        <v>1500</v>
      </c>
      <c r="Q4" s="104">
        <v>4500</v>
      </c>
      <c r="R4" s="264">
        <v>6500</v>
      </c>
      <c r="S4" s="264">
        <v>0</v>
      </c>
      <c r="T4" s="264">
        <v>0</v>
      </c>
      <c r="U4" s="264">
        <v>6500</v>
      </c>
      <c r="V4" s="264">
        <v>10000</v>
      </c>
      <c r="W4" s="264">
        <v>10000</v>
      </c>
      <c r="X4" s="264">
        <v>0</v>
      </c>
      <c r="Y4" s="264">
        <v>0</v>
      </c>
      <c r="Z4" s="264">
        <v>0</v>
      </c>
      <c r="AA4" s="264">
        <v>0</v>
      </c>
      <c r="AB4" s="264">
        <v>5000</v>
      </c>
      <c r="AC4" s="264">
        <v>7500</v>
      </c>
      <c r="AD4" s="264">
        <v>10000</v>
      </c>
      <c r="AE4" s="264">
        <v>0</v>
      </c>
      <c r="AF4" s="264">
        <v>0</v>
      </c>
      <c r="AG4" s="264">
        <v>7500</v>
      </c>
      <c r="AH4" s="264">
        <v>10000</v>
      </c>
      <c r="AI4" s="264">
        <v>10000</v>
      </c>
      <c r="AJ4" s="264">
        <v>0</v>
      </c>
      <c r="AK4" s="264">
        <v>0</v>
      </c>
      <c r="AL4" s="264">
        <v>0</v>
      </c>
      <c r="AM4" s="231">
        <f t="shared" ref="AM4:AM5" si="3">SUM(C4:AL4)</f>
        <v>89500</v>
      </c>
      <c r="AN4" s="266">
        <f t="shared" si="0"/>
        <v>500</v>
      </c>
      <c r="AO4" s="266">
        <f t="shared" si="1"/>
        <v>39000</v>
      </c>
      <c r="AP4" s="266">
        <f t="shared" si="2"/>
        <v>50000</v>
      </c>
      <c r="AQ4" s="267"/>
      <c r="AR4" s="267"/>
      <c r="AS4" s="267"/>
      <c r="AT4" s="267"/>
      <c r="AU4" s="267"/>
    </row>
    <row r="5" spans="1:48" s="232" customFormat="1" ht="30" customHeight="1" x14ac:dyDescent="0.5">
      <c r="A5" s="229" t="s">
        <v>135</v>
      </c>
      <c r="B5" s="230">
        <v>5</v>
      </c>
      <c r="C5" s="264">
        <v>50</v>
      </c>
      <c r="D5" s="264">
        <v>50</v>
      </c>
      <c r="E5" s="264">
        <v>50</v>
      </c>
      <c r="F5" s="264">
        <v>50</v>
      </c>
      <c r="G5" s="264">
        <v>50</v>
      </c>
      <c r="H5" s="264">
        <v>50</v>
      </c>
      <c r="I5" s="264">
        <v>50</v>
      </c>
      <c r="J5" s="264">
        <v>50</v>
      </c>
      <c r="K5" s="104">
        <v>50</v>
      </c>
      <c r="L5" s="264">
        <v>50</v>
      </c>
      <c r="M5" s="264">
        <v>0</v>
      </c>
      <c r="N5" s="104">
        <v>0</v>
      </c>
      <c r="O5" s="264">
        <v>0</v>
      </c>
      <c r="P5" s="264">
        <v>1500</v>
      </c>
      <c r="Q5" s="104">
        <v>4500</v>
      </c>
      <c r="R5" s="264">
        <v>6500</v>
      </c>
      <c r="S5" s="264">
        <v>0</v>
      </c>
      <c r="T5" s="264">
        <v>0</v>
      </c>
      <c r="U5" s="264">
        <v>6500</v>
      </c>
      <c r="V5" s="264">
        <v>10000</v>
      </c>
      <c r="W5" s="264">
        <v>10000</v>
      </c>
      <c r="X5" s="264">
        <v>0</v>
      </c>
      <c r="Y5" s="264">
        <v>0</v>
      </c>
      <c r="Z5" s="264">
        <v>0</v>
      </c>
      <c r="AA5" s="264">
        <v>0</v>
      </c>
      <c r="AB5" s="264">
        <v>5000</v>
      </c>
      <c r="AC5" s="264">
        <v>7500</v>
      </c>
      <c r="AD5" s="264">
        <v>10000</v>
      </c>
      <c r="AE5" s="264">
        <v>0</v>
      </c>
      <c r="AF5" s="264">
        <v>0</v>
      </c>
      <c r="AG5" s="264">
        <v>7500</v>
      </c>
      <c r="AH5" s="264">
        <v>10000</v>
      </c>
      <c r="AI5" s="264">
        <v>10000</v>
      </c>
      <c r="AJ5" s="264">
        <v>0</v>
      </c>
      <c r="AK5" s="264">
        <v>0</v>
      </c>
      <c r="AL5" s="264">
        <v>0</v>
      </c>
      <c r="AM5" s="231">
        <f t="shared" si="3"/>
        <v>89500</v>
      </c>
      <c r="AN5" s="266">
        <f t="shared" si="0"/>
        <v>500</v>
      </c>
      <c r="AO5" s="266">
        <f t="shared" si="1"/>
        <v>39000</v>
      </c>
      <c r="AP5" s="266">
        <f t="shared" si="2"/>
        <v>50000</v>
      </c>
      <c r="AQ5" s="267"/>
      <c r="AR5" s="267"/>
      <c r="AS5" s="267"/>
      <c r="AT5" s="267"/>
      <c r="AU5" s="267"/>
    </row>
    <row r="6" spans="1:48" s="3" customFormat="1" ht="24" customHeight="1" x14ac:dyDescent="0.5">
      <c r="A6" s="4" t="s">
        <v>3</v>
      </c>
      <c r="B6" s="5"/>
      <c r="C6" s="268">
        <f>SUM(C3:C5)</f>
        <v>150</v>
      </c>
      <c r="D6" s="268">
        <f t="shared" ref="D6:AM6" si="4">SUM(D3:D5)</f>
        <v>150</v>
      </c>
      <c r="E6" s="268">
        <f t="shared" si="4"/>
        <v>150</v>
      </c>
      <c r="F6" s="268">
        <f t="shared" si="4"/>
        <v>150</v>
      </c>
      <c r="G6" s="268">
        <f t="shared" si="4"/>
        <v>150</v>
      </c>
      <c r="H6" s="268">
        <f t="shared" si="4"/>
        <v>150</v>
      </c>
      <c r="I6" s="268">
        <f>SUM(I3:I5)</f>
        <v>150</v>
      </c>
      <c r="J6" s="268">
        <f t="shared" si="4"/>
        <v>150</v>
      </c>
      <c r="K6" s="108">
        <f t="shared" si="4"/>
        <v>150</v>
      </c>
      <c r="L6" s="268">
        <f t="shared" si="4"/>
        <v>150</v>
      </c>
      <c r="M6" s="268">
        <f t="shared" si="4"/>
        <v>0</v>
      </c>
      <c r="N6" s="108">
        <f t="shared" si="4"/>
        <v>0</v>
      </c>
      <c r="O6" s="268">
        <f t="shared" si="4"/>
        <v>0</v>
      </c>
      <c r="P6" s="268">
        <f t="shared" si="4"/>
        <v>4500</v>
      </c>
      <c r="Q6" s="108">
        <f t="shared" si="4"/>
        <v>13500</v>
      </c>
      <c r="R6" s="268">
        <f t="shared" si="4"/>
        <v>19500</v>
      </c>
      <c r="S6" s="268">
        <f t="shared" si="4"/>
        <v>0</v>
      </c>
      <c r="T6" s="268">
        <f t="shared" si="4"/>
        <v>0</v>
      </c>
      <c r="U6" s="268">
        <f t="shared" si="4"/>
        <v>19500</v>
      </c>
      <c r="V6" s="268">
        <f t="shared" si="4"/>
        <v>30000</v>
      </c>
      <c r="W6" s="268">
        <f t="shared" si="4"/>
        <v>30000</v>
      </c>
      <c r="X6" s="268">
        <f t="shared" si="4"/>
        <v>0</v>
      </c>
      <c r="Y6" s="268">
        <f t="shared" si="4"/>
        <v>0</v>
      </c>
      <c r="Z6" s="268">
        <f t="shared" si="4"/>
        <v>0</v>
      </c>
      <c r="AA6" s="268">
        <f>SUM(AA3:AA5)</f>
        <v>0</v>
      </c>
      <c r="AB6" s="268">
        <f t="shared" si="4"/>
        <v>15000</v>
      </c>
      <c r="AC6" s="268">
        <f t="shared" si="4"/>
        <v>22500</v>
      </c>
      <c r="AD6" s="268">
        <f t="shared" si="4"/>
        <v>30000</v>
      </c>
      <c r="AE6" s="268">
        <f t="shared" si="4"/>
        <v>0</v>
      </c>
      <c r="AF6" s="268">
        <f t="shared" si="4"/>
        <v>0</v>
      </c>
      <c r="AG6" s="268">
        <f t="shared" si="4"/>
        <v>22500</v>
      </c>
      <c r="AH6" s="268">
        <f t="shared" si="4"/>
        <v>30000</v>
      </c>
      <c r="AI6" s="268">
        <f t="shared" si="4"/>
        <v>30000</v>
      </c>
      <c r="AJ6" s="268">
        <f t="shared" si="4"/>
        <v>0</v>
      </c>
      <c r="AK6" s="268">
        <f t="shared" si="4"/>
        <v>0</v>
      </c>
      <c r="AL6" s="268">
        <f t="shared" si="4"/>
        <v>0</v>
      </c>
      <c r="AM6" s="231">
        <f t="shared" si="4"/>
        <v>268500</v>
      </c>
      <c r="AN6" s="266">
        <f t="shared" si="0"/>
        <v>1500</v>
      </c>
      <c r="AO6" s="266">
        <f t="shared" si="1"/>
        <v>117000</v>
      </c>
      <c r="AP6" s="266">
        <f t="shared" si="2"/>
        <v>150000</v>
      </c>
      <c r="AQ6" s="68"/>
      <c r="AR6" s="68"/>
      <c r="AS6" s="68"/>
      <c r="AT6" s="68"/>
      <c r="AU6" s="68"/>
    </row>
    <row r="7" spans="1:48" s="3" customFormat="1" ht="24" customHeight="1" x14ac:dyDescent="0.5">
      <c r="A7" s="1" t="s">
        <v>4</v>
      </c>
      <c r="B7" s="5"/>
      <c r="C7" s="264"/>
      <c r="D7" s="264"/>
      <c r="E7" s="264"/>
      <c r="F7" s="264"/>
      <c r="G7" s="264"/>
      <c r="H7" s="264"/>
      <c r="I7" s="264"/>
      <c r="J7" s="264"/>
      <c r="K7" s="104"/>
      <c r="L7" s="264"/>
      <c r="M7" s="264"/>
      <c r="N7" s="136">
        <f>SUM(C6:N6)</f>
        <v>1500</v>
      </c>
      <c r="O7" s="264"/>
      <c r="P7" s="264"/>
      <c r="Q7" s="104"/>
      <c r="R7" s="264"/>
      <c r="S7" s="264"/>
      <c r="T7" s="264"/>
      <c r="U7" s="264"/>
      <c r="V7" s="264"/>
      <c r="W7" s="264"/>
      <c r="X7" s="264"/>
      <c r="Y7" s="264"/>
      <c r="Z7" s="269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9"/>
      <c r="AM7" s="265"/>
      <c r="AN7" s="68"/>
      <c r="AO7" s="68">
        <f>AN8/AO8-1</f>
        <v>-0.98733108108108103</v>
      </c>
      <c r="AP7" s="68">
        <f>AO8/AP8-1</f>
        <v>-0.21796565389696165</v>
      </c>
      <c r="AQ7" s="68"/>
      <c r="AR7" s="68"/>
      <c r="AS7" s="68"/>
      <c r="AT7" s="68"/>
      <c r="AU7" s="68"/>
    </row>
    <row r="8" spans="1:48" s="3" customFormat="1" ht="33" customHeight="1" x14ac:dyDescent="0.5">
      <c r="A8" s="233" t="s">
        <v>136</v>
      </c>
      <c r="B8" s="7"/>
      <c r="C8" s="270">
        <v>1</v>
      </c>
      <c r="D8" s="270">
        <v>2</v>
      </c>
      <c r="E8" s="270">
        <v>3</v>
      </c>
      <c r="F8" s="270">
        <v>4</v>
      </c>
      <c r="G8" s="270">
        <v>5</v>
      </c>
      <c r="H8" s="270">
        <v>6</v>
      </c>
      <c r="I8" s="270">
        <v>7</v>
      </c>
      <c r="J8" s="270">
        <v>8</v>
      </c>
      <c r="K8" s="112">
        <v>9</v>
      </c>
      <c r="L8" s="270">
        <v>10</v>
      </c>
      <c r="M8" s="270">
        <v>11</v>
      </c>
      <c r="N8" s="112">
        <v>12</v>
      </c>
      <c r="O8" s="270">
        <v>13</v>
      </c>
      <c r="P8" s="270">
        <v>14</v>
      </c>
      <c r="Q8" s="112">
        <v>15</v>
      </c>
      <c r="R8" s="270">
        <v>16</v>
      </c>
      <c r="S8" s="270">
        <v>17</v>
      </c>
      <c r="T8" s="270">
        <v>18</v>
      </c>
      <c r="U8" s="270">
        <v>19</v>
      </c>
      <c r="V8" s="270">
        <v>20</v>
      </c>
      <c r="W8" s="270">
        <v>21</v>
      </c>
      <c r="X8" s="270">
        <v>22</v>
      </c>
      <c r="Y8" s="270">
        <v>23</v>
      </c>
      <c r="Z8" s="270">
        <v>24</v>
      </c>
      <c r="AA8" s="270">
        <v>25</v>
      </c>
      <c r="AB8" s="270">
        <v>26</v>
      </c>
      <c r="AC8" s="270">
        <v>27</v>
      </c>
      <c r="AD8" s="270">
        <v>28</v>
      </c>
      <c r="AE8" s="270">
        <v>29</v>
      </c>
      <c r="AF8" s="270">
        <v>30</v>
      </c>
      <c r="AG8" s="270">
        <v>31</v>
      </c>
      <c r="AH8" s="270">
        <v>32</v>
      </c>
      <c r="AI8" s="270">
        <v>33</v>
      </c>
      <c r="AJ8" s="270">
        <v>34</v>
      </c>
      <c r="AK8" s="270">
        <v>35</v>
      </c>
      <c r="AL8" s="270">
        <v>36</v>
      </c>
      <c r="AM8" s="265"/>
      <c r="AN8" s="68">
        <f>AN9/5</f>
        <v>1500</v>
      </c>
      <c r="AO8" s="68">
        <f>AO9/5</f>
        <v>118400</v>
      </c>
      <c r="AP8" s="68">
        <f t="shared" ref="AP8" si="5">AP9/5</f>
        <v>151400</v>
      </c>
      <c r="AQ8" s="68"/>
      <c r="AR8" s="68"/>
      <c r="AS8" s="68"/>
      <c r="AT8" s="68"/>
      <c r="AU8" s="68"/>
    </row>
    <row r="9" spans="1:48" s="3" customFormat="1" ht="24" customHeight="1" x14ac:dyDescent="0.5">
      <c r="A9" s="9"/>
      <c r="C9" s="633" t="s">
        <v>5</v>
      </c>
      <c r="D9" s="633"/>
      <c r="E9" s="633"/>
      <c r="F9" s="633"/>
      <c r="G9" s="633"/>
      <c r="H9" s="633"/>
      <c r="I9" s="633"/>
      <c r="J9" s="633"/>
      <c r="K9" s="633"/>
      <c r="L9" s="633"/>
      <c r="M9" s="633"/>
      <c r="N9" s="633"/>
      <c r="O9" s="633" t="s">
        <v>6</v>
      </c>
      <c r="P9" s="633"/>
      <c r="Q9" s="633"/>
      <c r="R9" s="633"/>
      <c r="S9" s="633"/>
      <c r="T9" s="633"/>
      <c r="U9" s="633"/>
      <c r="V9" s="633"/>
      <c r="W9" s="633"/>
      <c r="X9" s="633"/>
      <c r="Y9" s="633"/>
      <c r="Z9" s="633"/>
      <c r="AA9" s="633" t="s">
        <v>7</v>
      </c>
      <c r="AB9" s="633"/>
      <c r="AC9" s="633"/>
      <c r="AD9" s="633"/>
      <c r="AE9" s="633"/>
      <c r="AF9" s="633"/>
      <c r="AG9" s="633"/>
      <c r="AH9" s="633"/>
      <c r="AI9" s="633"/>
      <c r="AJ9" s="633"/>
      <c r="AK9" s="633"/>
      <c r="AL9" s="633"/>
      <c r="AM9" s="271"/>
      <c r="AN9" s="68">
        <f>AN19-AN16</f>
        <v>7500</v>
      </c>
      <c r="AO9" s="68">
        <f>AO19-AO16</f>
        <v>592000</v>
      </c>
      <c r="AP9" s="68">
        <f>AP19-AP16</f>
        <v>757000</v>
      </c>
      <c r="AQ9" s="68"/>
      <c r="AR9" s="68"/>
      <c r="AS9" s="68"/>
      <c r="AT9" s="68"/>
      <c r="AU9" s="68"/>
    </row>
    <row r="10" spans="1:48" s="14" customFormat="1" ht="24" customHeight="1" x14ac:dyDescent="0.5">
      <c r="A10" s="12"/>
      <c r="B10" s="13"/>
      <c r="C10" s="272">
        <v>44044</v>
      </c>
      <c r="D10" s="272">
        <v>44075</v>
      </c>
      <c r="E10" s="272">
        <v>44105</v>
      </c>
      <c r="F10" s="272">
        <v>44136</v>
      </c>
      <c r="G10" s="272">
        <v>44166</v>
      </c>
      <c r="H10" s="272">
        <v>44197</v>
      </c>
      <c r="I10" s="272">
        <v>44228</v>
      </c>
      <c r="J10" s="272">
        <v>44256</v>
      </c>
      <c r="K10" s="102">
        <v>44287</v>
      </c>
      <c r="L10" s="272">
        <v>44317</v>
      </c>
      <c r="M10" s="272">
        <v>44348</v>
      </c>
      <c r="N10" s="102">
        <v>44378</v>
      </c>
      <c r="O10" s="272">
        <v>44409</v>
      </c>
      <c r="P10" s="272">
        <v>44440</v>
      </c>
      <c r="Q10" s="102">
        <v>44470</v>
      </c>
      <c r="R10" s="272">
        <v>44501</v>
      </c>
      <c r="S10" s="272">
        <v>44531</v>
      </c>
      <c r="T10" s="272">
        <v>44562</v>
      </c>
      <c r="U10" s="272">
        <v>44593</v>
      </c>
      <c r="V10" s="272">
        <v>44621</v>
      </c>
      <c r="W10" s="272">
        <v>44652</v>
      </c>
      <c r="X10" s="272">
        <v>44682</v>
      </c>
      <c r="Y10" s="272">
        <v>44713</v>
      </c>
      <c r="Z10" s="272">
        <v>44743</v>
      </c>
      <c r="AA10" s="272">
        <v>44774</v>
      </c>
      <c r="AB10" s="272">
        <v>44805</v>
      </c>
      <c r="AC10" s="272">
        <v>44835</v>
      </c>
      <c r="AD10" s="272">
        <v>44866</v>
      </c>
      <c r="AE10" s="272">
        <v>44896</v>
      </c>
      <c r="AF10" s="272">
        <v>44927</v>
      </c>
      <c r="AG10" s="272">
        <v>44958</v>
      </c>
      <c r="AH10" s="272">
        <v>44986</v>
      </c>
      <c r="AI10" s="272">
        <v>45017</v>
      </c>
      <c r="AJ10" s="272">
        <v>45047</v>
      </c>
      <c r="AK10" s="272">
        <v>45078</v>
      </c>
      <c r="AL10" s="272">
        <v>45108</v>
      </c>
      <c r="AM10" s="272">
        <v>45139</v>
      </c>
      <c r="AN10" s="68"/>
      <c r="AO10" s="68"/>
      <c r="AP10" s="68"/>
      <c r="AQ10" s="68"/>
      <c r="AR10" s="68"/>
      <c r="AS10" s="68"/>
      <c r="AT10" s="68"/>
      <c r="AU10" s="68"/>
    </row>
    <row r="11" spans="1:48" s="3" customFormat="1" ht="24" customHeight="1" x14ac:dyDescent="0.5">
      <c r="A11" s="15" t="s">
        <v>8</v>
      </c>
      <c r="B11" s="15"/>
      <c r="C11" s="273">
        <f>C3*5</f>
        <v>250</v>
      </c>
      <c r="D11" s="273">
        <f t="shared" ref="D11:AL13" si="6">D3*5</f>
        <v>250</v>
      </c>
      <c r="E11" s="273">
        <f t="shared" si="6"/>
        <v>250</v>
      </c>
      <c r="F11" s="273">
        <f t="shared" si="6"/>
        <v>250</v>
      </c>
      <c r="G11" s="273">
        <f t="shared" si="6"/>
        <v>250</v>
      </c>
      <c r="H11" s="273">
        <f t="shared" si="6"/>
        <v>250</v>
      </c>
      <c r="I11" s="273">
        <f t="shared" si="6"/>
        <v>250</v>
      </c>
      <c r="J11" s="273">
        <f t="shared" si="6"/>
        <v>250</v>
      </c>
      <c r="K11" s="113">
        <f t="shared" si="6"/>
        <v>250</v>
      </c>
      <c r="L11" s="273">
        <f t="shared" si="6"/>
        <v>250</v>
      </c>
      <c r="M11" s="273">
        <f t="shared" si="6"/>
        <v>0</v>
      </c>
      <c r="N11" s="113">
        <f t="shared" si="6"/>
        <v>0</v>
      </c>
      <c r="O11" s="273">
        <f t="shared" si="6"/>
        <v>0</v>
      </c>
      <c r="P11" s="273">
        <f t="shared" si="6"/>
        <v>7500</v>
      </c>
      <c r="Q11" s="113">
        <f t="shared" si="6"/>
        <v>22500</v>
      </c>
      <c r="R11" s="273">
        <f t="shared" si="6"/>
        <v>32500</v>
      </c>
      <c r="S11" s="273">
        <f t="shared" si="6"/>
        <v>0</v>
      </c>
      <c r="T11" s="273">
        <f t="shared" si="6"/>
        <v>0</v>
      </c>
      <c r="U11" s="273">
        <f t="shared" si="6"/>
        <v>32500</v>
      </c>
      <c r="V11" s="273">
        <f t="shared" si="6"/>
        <v>50000</v>
      </c>
      <c r="W11" s="273">
        <f t="shared" si="6"/>
        <v>50000</v>
      </c>
      <c r="X11" s="273">
        <f t="shared" si="6"/>
        <v>0</v>
      </c>
      <c r="Y11" s="273">
        <f t="shared" si="6"/>
        <v>0</v>
      </c>
      <c r="Z11" s="273">
        <f t="shared" si="6"/>
        <v>0</v>
      </c>
      <c r="AA11" s="273">
        <f t="shared" si="6"/>
        <v>0</v>
      </c>
      <c r="AB11" s="273">
        <f t="shared" si="6"/>
        <v>25000</v>
      </c>
      <c r="AC11" s="273">
        <f t="shared" si="6"/>
        <v>37500</v>
      </c>
      <c r="AD11" s="273">
        <f t="shared" si="6"/>
        <v>50000</v>
      </c>
      <c r="AE11" s="273">
        <f t="shared" si="6"/>
        <v>0</v>
      </c>
      <c r="AF11" s="273">
        <f t="shared" si="6"/>
        <v>0</v>
      </c>
      <c r="AG11" s="273">
        <f t="shared" si="6"/>
        <v>37500</v>
      </c>
      <c r="AH11" s="273">
        <f t="shared" si="6"/>
        <v>50000</v>
      </c>
      <c r="AI11" s="273">
        <f t="shared" si="6"/>
        <v>50000</v>
      </c>
      <c r="AJ11" s="273">
        <f t="shared" si="6"/>
        <v>0</v>
      </c>
      <c r="AK11" s="273">
        <f t="shared" si="6"/>
        <v>0</v>
      </c>
      <c r="AL11" s="273">
        <f t="shared" si="6"/>
        <v>0</v>
      </c>
      <c r="AM11" s="274">
        <f t="shared" ref="AM11:AM13" si="7">SUM(C11:AL11)</f>
        <v>447500</v>
      </c>
      <c r="AN11" s="266">
        <f>SUM(C11:N11)</f>
        <v>2500</v>
      </c>
      <c r="AO11" s="266">
        <f t="shared" ref="AO11:AO13" si="8">SUM(O11:Z11)</f>
        <v>195000</v>
      </c>
      <c r="AP11" s="266">
        <f t="shared" ref="AP11:AP13" si="9">SUM(AA11:AL11)</f>
        <v>250000</v>
      </c>
      <c r="AQ11" s="68">
        <f>AN11+AO11+AP11-AM11</f>
        <v>0</v>
      </c>
      <c r="AR11" s="68"/>
      <c r="AS11" s="275">
        <f>AM11/AM14</f>
        <v>0.33333333333333331</v>
      </c>
      <c r="AT11" s="276">
        <f>AP11+(AP11*20%)</f>
        <v>300000</v>
      </c>
      <c r="AU11" s="276">
        <f>AT11+(AT11*20%)</f>
        <v>360000</v>
      </c>
      <c r="AV11" s="234"/>
    </row>
    <row r="12" spans="1:48" s="3" customFormat="1" ht="24" customHeight="1" x14ac:dyDescent="0.5">
      <c r="A12" s="15" t="s">
        <v>9</v>
      </c>
      <c r="B12" s="15"/>
      <c r="C12" s="273">
        <f>C4*5</f>
        <v>250</v>
      </c>
      <c r="D12" s="273">
        <f t="shared" si="6"/>
        <v>250</v>
      </c>
      <c r="E12" s="273">
        <f t="shared" si="6"/>
        <v>250</v>
      </c>
      <c r="F12" s="273">
        <f t="shared" si="6"/>
        <v>250</v>
      </c>
      <c r="G12" s="273">
        <f t="shared" si="6"/>
        <v>250</v>
      </c>
      <c r="H12" s="273">
        <f t="shared" si="6"/>
        <v>250</v>
      </c>
      <c r="I12" s="273">
        <f t="shared" si="6"/>
        <v>250</v>
      </c>
      <c r="J12" s="273">
        <f t="shared" si="6"/>
        <v>250</v>
      </c>
      <c r="K12" s="113">
        <f t="shared" si="6"/>
        <v>250</v>
      </c>
      <c r="L12" s="273">
        <f t="shared" si="6"/>
        <v>250</v>
      </c>
      <c r="M12" s="273">
        <f t="shared" si="6"/>
        <v>0</v>
      </c>
      <c r="N12" s="113">
        <f t="shared" si="6"/>
        <v>0</v>
      </c>
      <c r="O12" s="273">
        <f t="shared" si="6"/>
        <v>0</v>
      </c>
      <c r="P12" s="273">
        <f t="shared" si="6"/>
        <v>7500</v>
      </c>
      <c r="Q12" s="113">
        <f t="shared" si="6"/>
        <v>22500</v>
      </c>
      <c r="R12" s="273">
        <f t="shared" si="6"/>
        <v>32500</v>
      </c>
      <c r="S12" s="273">
        <f t="shared" si="6"/>
        <v>0</v>
      </c>
      <c r="T12" s="273">
        <f t="shared" si="6"/>
        <v>0</v>
      </c>
      <c r="U12" s="273">
        <f t="shared" si="6"/>
        <v>32500</v>
      </c>
      <c r="V12" s="273">
        <f t="shared" si="6"/>
        <v>50000</v>
      </c>
      <c r="W12" s="273">
        <f t="shared" si="6"/>
        <v>50000</v>
      </c>
      <c r="X12" s="273">
        <f t="shared" si="6"/>
        <v>0</v>
      </c>
      <c r="Y12" s="273">
        <f t="shared" si="6"/>
        <v>0</v>
      </c>
      <c r="Z12" s="273">
        <f t="shared" si="6"/>
        <v>0</v>
      </c>
      <c r="AA12" s="273">
        <f t="shared" si="6"/>
        <v>0</v>
      </c>
      <c r="AB12" s="273">
        <f t="shared" si="6"/>
        <v>25000</v>
      </c>
      <c r="AC12" s="273">
        <f t="shared" si="6"/>
        <v>37500</v>
      </c>
      <c r="AD12" s="273">
        <f t="shared" si="6"/>
        <v>50000</v>
      </c>
      <c r="AE12" s="273">
        <f t="shared" si="6"/>
        <v>0</v>
      </c>
      <c r="AF12" s="273">
        <f t="shared" si="6"/>
        <v>0</v>
      </c>
      <c r="AG12" s="273">
        <f t="shared" si="6"/>
        <v>37500</v>
      </c>
      <c r="AH12" s="273">
        <f t="shared" si="6"/>
        <v>50000</v>
      </c>
      <c r="AI12" s="273">
        <f t="shared" si="6"/>
        <v>50000</v>
      </c>
      <c r="AJ12" s="273">
        <f t="shared" si="6"/>
        <v>0</v>
      </c>
      <c r="AK12" s="273">
        <f t="shared" si="6"/>
        <v>0</v>
      </c>
      <c r="AL12" s="273">
        <f t="shared" si="6"/>
        <v>0</v>
      </c>
      <c r="AM12" s="274">
        <f t="shared" si="7"/>
        <v>447500</v>
      </c>
      <c r="AN12" s="266">
        <f t="shared" ref="AN12:AN13" si="10">SUM(C12:N12)</f>
        <v>2500</v>
      </c>
      <c r="AO12" s="266">
        <f t="shared" si="8"/>
        <v>195000</v>
      </c>
      <c r="AP12" s="266">
        <f t="shared" si="9"/>
        <v>250000</v>
      </c>
      <c r="AQ12" s="68">
        <f t="shared" ref="AQ12:AQ13" si="11">AN12+AO12+AP12-AM12</f>
        <v>0</v>
      </c>
      <c r="AR12" s="68"/>
      <c r="AS12" s="275">
        <f>AM12/AM14</f>
        <v>0.33333333333333331</v>
      </c>
      <c r="AT12" s="276">
        <f>AP12+(AP12*20%)</f>
        <v>300000</v>
      </c>
      <c r="AU12" s="276">
        <f t="shared" ref="AU12:AU13" si="12">AT12+(AT12*20%)</f>
        <v>360000</v>
      </c>
      <c r="AV12" s="234"/>
    </row>
    <row r="13" spans="1:48" s="3" customFormat="1" ht="24" customHeight="1" x14ac:dyDescent="0.5">
      <c r="A13" s="15" t="s">
        <v>10</v>
      </c>
      <c r="B13" s="15"/>
      <c r="C13" s="273">
        <f>C5*5</f>
        <v>250</v>
      </c>
      <c r="D13" s="273">
        <f t="shared" si="6"/>
        <v>250</v>
      </c>
      <c r="E13" s="273">
        <f t="shared" si="6"/>
        <v>250</v>
      </c>
      <c r="F13" s="273">
        <f t="shared" si="6"/>
        <v>250</v>
      </c>
      <c r="G13" s="273">
        <f t="shared" si="6"/>
        <v>250</v>
      </c>
      <c r="H13" s="273">
        <f t="shared" si="6"/>
        <v>250</v>
      </c>
      <c r="I13" s="273">
        <f t="shared" si="6"/>
        <v>250</v>
      </c>
      <c r="J13" s="273">
        <f t="shared" si="6"/>
        <v>250</v>
      </c>
      <c r="K13" s="113">
        <f t="shared" si="6"/>
        <v>250</v>
      </c>
      <c r="L13" s="273">
        <f t="shared" si="6"/>
        <v>250</v>
      </c>
      <c r="M13" s="273">
        <f t="shared" si="6"/>
        <v>0</v>
      </c>
      <c r="N13" s="113">
        <f t="shared" si="6"/>
        <v>0</v>
      </c>
      <c r="O13" s="273">
        <f t="shared" si="6"/>
        <v>0</v>
      </c>
      <c r="P13" s="273">
        <f t="shared" si="6"/>
        <v>7500</v>
      </c>
      <c r="Q13" s="113">
        <f t="shared" si="6"/>
        <v>22500</v>
      </c>
      <c r="R13" s="273">
        <f t="shared" si="6"/>
        <v>32500</v>
      </c>
      <c r="S13" s="273">
        <f t="shared" si="6"/>
        <v>0</v>
      </c>
      <c r="T13" s="273">
        <f t="shared" si="6"/>
        <v>0</v>
      </c>
      <c r="U13" s="273">
        <f t="shared" si="6"/>
        <v>32500</v>
      </c>
      <c r="V13" s="273">
        <f t="shared" si="6"/>
        <v>50000</v>
      </c>
      <c r="W13" s="273">
        <f t="shared" si="6"/>
        <v>50000</v>
      </c>
      <c r="X13" s="273">
        <f t="shared" si="6"/>
        <v>0</v>
      </c>
      <c r="Y13" s="273">
        <f t="shared" si="6"/>
        <v>0</v>
      </c>
      <c r="Z13" s="273">
        <f t="shared" si="6"/>
        <v>0</v>
      </c>
      <c r="AA13" s="273">
        <f t="shared" si="6"/>
        <v>0</v>
      </c>
      <c r="AB13" s="273">
        <f t="shared" si="6"/>
        <v>25000</v>
      </c>
      <c r="AC13" s="273">
        <f t="shared" si="6"/>
        <v>37500</v>
      </c>
      <c r="AD13" s="273">
        <f t="shared" si="6"/>
        <v>50000</v>
      </c>
      <c r="AE13" s="273">
        <f t="shared" si="6"/>
        <v>0</v>
      </c>
      <c r="AF13" s="273">
        <f t="shared" si="6"/>
        <v>0</v>
      </c>
      <c r="AG13" s="273">
        <f t="shared" si="6"/>
        <v>37500</v>
      </c>
      <c r="AH13" s="273">
        <f t="shared" si="6"/>
        <v>50000</v>
      </c>
      <c r="AI13" s="273">
        <f t="shared" si="6"/>
        <v>50000</v>
      </c>
      <c r="AJ13" s="273">
        <f t="shared" si="6"/>
        <v>0</v>
      </c>
      <c r="AK13" s="273">
        <f t="shared" si="6"/>
        <v>0</v>
      </c>
      <c r="AL13" s="273">
        <f t="shared" si="6"/>
        <v>0</v>
      </c>
      <c r="AM13" s="274">
        <f t="shared" si="7"/>
        <v>447500</v>
      </c>
      <c r="AN13" s="266">
        <f t="shared" si="10"/>
        <v>2500</v>
      </c>
      <c r="AO13" s="266">
        <f t="shared" si="8"/>
        <v>195000</v>
      </c>
      <c r="AP13" s="266">
        <f t="shared" si="9"/>
        <v>250000</v>
      </c>
      <c r="AQ13" s="68">
        <f t="shared" si="11"/>
        <v>0</v>
      </c>
      <c r="AR13" s="68"/>
      <c r="AS13" s="275">
        <f>AM13/AM14</f>
        <v>0.33333333333333331</v>
      </c>
      <c r="AT13" s="276">
        <f t="shared" ref="AT13" si="13">AP13+(AP13*20%)</f>
        <v>300000</v>
      </c>
      <c r="AU13" s="276">
        <f t="shared" si="12"/>
        <v>360000</v>
      </c>
      <c r="AV13" s="234"/>
    </row>
    <row r="14" spans="1:48" s="232" customFormat="1" ht="24" customHeight="1" x14ac:dyDescent="0.5">
      <c r="A14" s="235" t="s">
        <v>137</v>
      </c>
      <c r="B14" s="235"/>
      <c r="C14" s="236">
        <f>SUM(C11:C13)</f>
        <v>750</v>
      </c>
      <c r="D14" s="236">
        <f t="shared" ref="D14:O14" si="14">SUM(D11:D13)</f>
        <v>750</v>
      </c>
      <c r="E14" s="236">
        <f t="shared" si="14"/>
        <v>750</v>
      </c>
      <c r="F14" s="236">
        <f t="shared" si="14"/>
        <v>750</v>
      </c>
      <c r="G14" s="236">
        <f t="shared" si="14"/>
        <v>750</v>
      </c>
      <c r="H14" s="236">
        <f t="shared" si="14"/>
        <v>750</v>
      </c>
      <c r="I14" s="236">
        <f t="shared" si="14"/>
        <v>750</v>
      </c>
      <c r="J14" s="236">
        <f t="shared" si="14"/>
        <v>750</v>
      </c>
      <c r="K14" s="83">
        <f t="shared" si="14"/>
        <v>750</v>
      </c>
      <c r="L14" s="236">
        <f t="shared" si="14"/>
        <v>750</v>
      </c>
      <c r="M14" s="236">
        <f t="shared" si="14"/>
        <v>0</v>
      </c>
      <c r="N14" s="83">
        <f t="shared" si="14"/>
        <v>0</v>
      </c>
      <c r="O14" s="236">
        <f t="shared" si="14"/>
        <v>0</v>
      </c>
      <c r="P14" s="236">
        <f>SUM(P11:P13)</f>
        <v>22500</v>
      </c>
      <c r="Q14" s="83">
        <f t="shared" ref="Q14:AL14" si="15">SUM(Q11:Q13)</f>
        <v>67500</v>
      </c>
      <c r="R14" s="236">
        <f t="shared" si="15"/>
        <v>97500</v>
      </c>
      <c r="S14" s="236">
        <f t="shared" si="15"/>
        <v>0</v>
      </c>
      <c r="T14" s="236">
        <f t="shared" si="15"/>
        <v>0</v>
      </c>
      <c r="U14" s="236">
        <f t="shared" si="15"/>
        <v>97500</v>
      </c>
      <c r="V14" s="236">
        <f t="shared" si="15"/>
        <v>150000</v>
      </c>
      <c r="W14" s="236">
        <f t="shared" si="15"/>
        <v>150000</v>
      </c>
      <c r="X14" s="236">
        <f t="shared" si="15"/>
        <v>0</v>
      </c>
      <c r="Y14" s="236">
        <f t="shared" si="15"/>
        <v>0</v>
      </c>
      <c r="Z14" s="236">
        <f t="shared" si="15"/>
        <v>0</v>
      </c>
      <c r="AA14" s="236">
        <f t="shared" si="15"/>
        <v>0</v>
      </c>
      <c r="AB14" s="236">
        <f t="shared" si="15"/>
        <v>75000</v>
      </c>
      <c r="AC14" s="236">
        <f t="shared" si="15"/>
        <v>112500</v>
      </c>
      <c r="AD14" s="236">
        <f t="shared" si="15"/>
        <v>150000</v>
      </c>
      <c r="AE14" s="236">
        <f t="shared" si="15"/>
        <v>0</v>
      </c>
      <c r="AF14" s="236">
        <f t="shared" si="15"/>
        <v>0</v>
      </c>
      <c r="AG14" s="236">
        <f t="shared" si="15"/>
        <v>112500</v>
      </c>
      <c r="AH14" s="236">
        <f t="shared" si="15"/>
        <v>150000</v>
      </c>
      <c r="AI14" s="236">
        <f t="shared" si="15"/>
        <v>150000</v>
      </c>
      <c r="AJ14" s="236">
        <f t="shared" si="15"/>
        <v>0</v>
      </c>
      <c r="AK14" s="236">
        <f t="shared" si="15"/>
        <v>0</v>
      </c>
      <c r="AL14" s="236">
        <f t="shared" si="15"/>
        <v>0</v>
      </c>
      <c r="AM14" s="237">
        <f>SUM(AM11:AM13)</f>
        <v>1342500</v>
      </c>
      <c r="AN14" s="277">
        <f>(AM3*B3)+(AM4*B4)+(AM5*B5)-AM15</f>
        <v>0</v>
      </c>
      <c r="AO14" s="267">
        <f>AO19-AN19</f>
        <v>605726</v>
      </c>
      <c r="AP14" s="267">
        <f>AP19-AO19</f>
        <v>249000</v>
      </c>
      <c r="AQ14" s="267"/>
      <c r="AR14" s="267"/>
      <c r="AS14" s="278">
        <f>SUM(AS11:AS13)</f>
        <v>1</v>
      </c>
      <c r="AT14" s="276"/>
      <c r="AU14" s="276"/>
      <c r="AV14" s="234"/>
    </row>
    <row r="15" spans="1:48" s="232" customFormat="1" ht="24" customHeight="1" x14ac:dyDescent="0.5">
      <c r="A15" s="238" t="s">
        <v>138</v>
      </c>
      <c r="B15" s="238"/>
      <c r="C15" s="264">
        <f>C14</f>
        <v>750</v>
      </c>
      <c r="D15" s="264">
        <f t="shared" ref="D15:AL15" si="16">D14</f>
        <v>750</v>
      </c>
      <c r="E15" s="264">
        <f t="shared" si="16"/>
        <v>750</v>
      </c>
      <c r="F15" s="264">
        <f t="shared" si="16"/>
        <v>750</v>
      </c>
      <c r="G15" s="264">
        <f t="shared" si="16"/>
        <v>750</v>
      </c>
      <c r="H15" s="264">
        <f t="shared" si="16"/>
        <v>750</v>
      </c>
      <c r="I15" s="264">
        <f t="shared" si="16"/>
        <v>750</v>
      </c>
      <c r="J15" s="264">
        <f t="shared" si="16"/>
        <v>750</v>
      </c>
      <c r="K15" s="104">
        <f t="shared" si="16"/>
        <v>750</v>
      </c>
      <c r="L15" s="264">
        <f t="shared" si="16"/>
        <v>750</v>
      </c>
      <c r="M15" s="264">
        <f t="shared" si="16"/>
        <v>0</v>
      </c>
      <c r="N15" s="104">
        <f t="shared" si="16"/>
        <v>0</v>
      </c>
      <c r="O15" s="264">
        <f t="shared" si="16"/>
        <v>0</v>
      </c>
      <c r="P15" s="264">
        <f t="shared" si="16"/>
        <v>22500</v>
      </c>
      <c r="Q15" s="104">
        <f t="shared" si="16"/>
        <v>67500</v>
      </c>
      <c r="R15" s="264">
        <f t="shared" si="16"/>
        <v>97500</v>
      </c>
      <c r="S15" s="264">
        <f t="shared" si="16"/>
        <v>0</v>
      </c>
      <c r="T15" s="264">
        <f t="shared" si="16"/>
        <v>0</v>
      </c>
      <c r="U15" s="264">
        <f t="shared" si="16"/>
        <v>97500</v>
      </c>
      <c r="V15" s="264">
        <f t="shared" si="16"/>
        <v>150000</v>
      </c>
      <c r="W15" s="264">
        <f t="shared" si="16"/>
        <v>150000</v>
      </c>
      <c r="X15" s="264">
        <f t="shared" si="16"/>
        <v>0</v>
      </c>
      <c r="Y15" s="264">
        <f t="shared" si="16"/>
        <v>0</v>
      </c>
      <c r="Z15" s="264">
        <f t="shared" si="16"/>
        <v>0</v>
      </c>
      <c r="AA15" s="264">
        <f t="shared" si="16"/>
        <v>0</v>
      </c>
      <c r="AB15" s="264">
        <f t="shared" si="16"/>
        <v>75000</v>
      </c>
      <c r="AC15" s="264">
        <f t="shared" si="16"/>
        <v>112500</v>
      </c>
      <c r="AD15" s="264">
        <f t="shared" si="16"/>
        <v>150000</v>
      </c>
      <c r="AE15" s="264">
        <f t="shared" si="16"/>
        <v>0</v>
      </c>
      <c r="AF15" s="264">
        <f t="shared" si="16"/>
        <v>0</v>
      </c>
      <c r="AG15" s="264">
        <f t="shared" si="16"/>
        <v>112500</v>
      </c>
      <c r="AH15" s="264">
        <f t="shared" si="16"/>
        <v>150000</v>
      </c>
      <c r="AI15" s="264">
        <f t="shared" si="16"/>
        <v>150000</v>
      </c>
      <c r="AJ15" s="264">
        <f t="shared" si="16"/>
        <v>0</v>
      </c>
      <c r="AK15" s="264">
        <f t="shared" si="16"/>
        <v>0</v>
      </c>
      <c r="AL15" s="264">
        <f t="shared" si="16"/>
        <v>0</v>
      </c>
      <c r="AM15" s="279">
        <f>SUM(C15:AL15)</f>
        <v>1342500</v>
      </c>
      <c r="AN15" s="266">
        <f>SUM(C15:N15)</f>
        <v>7500</v>
      </c>
      <c r="AO15" s="266">
        <f>SUM(O15:Z15)</f>
        <v>585000</v>
      </c>
      <c r="AP15" s="266">
        <f>SUM(AA15:AL15)</f>
        <v>750000</v>
      </c>
      <c r="AQ15" s="267"/>
      <c r="AR15" s="267"/>
      <c r="AS15" s="267"/>
      <c r="AT15" s="267"/>
      <c r="AU15" s="267"/>
    </row>
    <row r="16" spans="1:48" s="241" customFormat="1" ht="24" customHeight="1" x14ac:dyDescent="0.5">
      <c r="A16" s="240" t="s">
        <v>11</v>
      </c>
      <c r="B16" s="240"/>
      <c r="C16" s="280">
        <v>1050</v>
      </c>
      <c r="D16" s="280">
        <v>12500</v>
      </c>
      <c r="E16" s="280">
        <v>34004</v>
      </c>
      <c r="F16" s="280">
        <v>1000</v>
      </c>
      <c r="G16" s="280">
        <v>0</v>
      </c>
      <c r="H16" s="280">
        <v>0</v>
      </c>
      <c r="I16" s="280">
        <v>490</v>
      </c>
      <c r="J16" s="280">
        <v>1730</v>
      </c>
      <c r="K16" s="123">
        <v>68000</v>
      </c>
      <c r="L16" s="280">
        <v>16000</v>
      </c>
      <c r="M16" s="280">
        <v>0</v>
      </c>
      <c r="N16" s="123">
        <v>0</v>
      </c>
      <c r="O16" s="280">
        <v>0</v>
      </c>
      <c r="P16" s="280">
        <v>60000</v>
      </c>
      <c r="Q16" s="123">
        <v>12000</v>
      </c>
      <c r="R16" s="280">
        <v>0</v>
      </c>
      <c r="S16" s="280">
        <v>0</v>
      </c>
      <c r="T16" s="280">
        <v>0</v>
      </c>
      <c r="U16" s="280">
        <v>60000</v>
      </c>
      <c r="V16" s="280">
        <v>24000</v>
      </c>
      <c r="W16" s="280">
        <v>0</v>
      </c>
      <c r="X16" s="280">
        <v>0</v>
      </c>
      <c r="Y16" s="280">
        <v>0</v>
      </c>
      <c r="Z16" s="280">
        <v>0</v>
      </c>
      <c r="AA16" s="280">
        <v>0</v>
      </c>
      <c r="AB16" s="280">
        <v>60000</v>
      </c>
      <c r="AC16" s="280">
        <v>24000</v>
      </c>
      <c r="AD16" s="280">
        <v>24000</v>
      </c>
      <c r="AE16" s="280">
        <v>24000</v>
      </c>
      <c r="AF16" s="280">
        <v>0</v>
      </c>
      <c r="AG16" s="280">
        <v>60000</v>
      </c>
      <c r="AH16" s="280">
        <v>24000</v>
      </c>
      <c r="AI16" s="280">
        <v>24000</v>
      </c>
      <c r="AJ16" s="280">
        <v>0</v>
      </c>
      <c r="AK16" s="280">
        <v>0</v>
      </c>
      <c r="AL16" s="280">
        <v>0</v>
      </c>
      <c r="AM16" s="281">
        <f>SUM(C16:AL16)</f>
        <v>530774</v>
      </c>
      <c r="AN16" s="266">
        <f>SUM(C16:N16)</f>
        <v>134774</v>
      </c>
      <c r="AO16" s="266">
        <f>SUM(O16:Z16)</f>
        <v>156000</v>
      </c>
      <c r="AP16" s="266">
        <f>SUM(AA16:AL16)</f>
        <v>240000</v>
      </c>
      <c r="AQ16" s="282"/>
      <c r="AR16" s="282"/>
      <c r="AS16" s="282"/>
      <c r="AT16" s="282"/>
      <c r="AU16" s="282"/>
    </row>
    <row r="17" spans="1:47" s="232" customFormat="1" ht="24" customHeight="1" x14ac:dyDescent="0.5">
      <c r="A17" s="238" t="s">
        <v>12</v>
      </c>
      <c r="B17" s="238"/>
      <c r="C17" s="264">
        <v>0</v>
      </c>
      <c r="D17" s="264">
        <v>0</v>
      </c>
      <c r="E17" s="264">
        <v>0</v>
      </c>
      <c r="F17" s="264">
        <v>0</v>
      </c>
      <c r="G17" s="264">
        <v>0</v>
      </c>
      <c r="H17" s="264">
        <v>0</v>
      </c>
      <c r="I17" s="264">
        <v>0</v>
      </c>
      <c r="J17" s="264">
        <v>0</v>
      </c>
      <c r="K17" s="104">
        <v>0</v>
      </c>
      <c r="L17" s="264">
        <v>0</v>
      </c>
      <c r="M17" s="264">
        <v>0</v>
      </c>
      <c r="N17" s="104">
        <v>0</v>
      </c>
      <c r="O17" s="264">
        <v>0</v>
      </c>
      <c r="P17" s="264">
        <v>7000</v>
      </c>
      <c r="Q17" s="104">
        <v>0</v>
      </c>
      <c r="R17" s="264">
        <v>0</v>
      </c>
      <c r="S17" s="264">
        <v>0</v>
      </c>
      <c r="T17" s="264">
        <v>0</v>
      </c>
      <c r="U17" s="264">
        <v>0</v>
      </c>
      <c r="V17" s="264">
        <v>0</v>
      </c>
      <c r="W17" s="264">
        <v>0</v>
      </c>
      <c r="X17" s="264">
        <v>0</v>
      </c>
      <c r="Y17" s="264">
        <v>0</v>
      </c>
      <c r="Z17" s="264">
        <v>0</v>
      </c>
      <c r="AA17" s="264">
        <v>0</v>
      </c>
      <c r="AB17" s="264">
        <v>7000</v>
      </c>
      <c r="AC17" s="264">
        <v>0</v>
      </c>
      <c r="AD17" s="264">
        <v>0</v>
      </c>
      <c r="AE17" s="264">
        <v>0</v>
      </c>
      <c r="AF17" s="264">
        <v>0</v>
      </c>
      <c r="AG17" s="264">
        <v>0</v>
      </c>
      <c r="AH17" s="264">
        <v>0</v>
      </c>
      <c r="AI17" s="264">
        <v>0</v>
      </c>
      <c r="AJ17" s="264">
        <v>0</v>
      </c>
      <c r="AK17" s="264">
        <v>0</v>
      </c>
      <c r="AL17" s="264">
        <v>0</v>
      </c>
      <c r="AM17" s="279">
        <f>SUM(C17:AL17)</f>
        <v>14000</v>
      </c>
      <c r="AN17" s="266">
        <f>SUM(C17:N17)</f>
        <v>0</v>
      </c>
      <c r="AO17" s="266">
        <f>SUM(O17:Z17)</f>
        <v>7000</v>
      </c>
      <c r="AP17" s="266">
        <f>SUM(AA17:AL17)</f>
        <v>7000</v>
      </c>
      <c r="AQ17" s="267"/>
      <c r="AR17" s="267"/>
      <c r="AS17" s="267"/>
      <c r="AT17" s="267"/>
      <c r="AU17" s="267"/>
    </row>
    <row r="18" spans="1:47" s="232" customFormat="1" ht="24" customHeight="1" x14ac:dyDescent="0.5">
      <c r="A18" s="242" t="s">
        <v>13</v>
      </c>
      <c r="B18" s="242"/>
      <c r="C18" s="283">
        <f>SUM(C15:C17)</f>
        <v>1800</v>
      </c>
      <c r="D18" s="283">
        <f>SUM(D15:D17)</f>
        <v>13250</v>
      </c>
      <c r="E18" s="283">
        <f>SUM(E15:E17)</f>
        <v>34754</v>
      </c>
      <c r="F18" s="283">
        <f t="shared" ref="F18:AI18" si="17">SUM(F15:F17)</f>
        <v>1750</v>
      </c>
      <c r="G18" s="283">
        <f t="shared" si="17"/>
        <v>750</v>
      </c>
      <c r="H18" s="283">
        <f t="shared" si="17"/>
        <v>750</v>
      </c>
      <c r="I18" s="283">
        <f t="shared" si="17"/>
        <v>1240</v>
      </c>
      <c r="J18" s="283">
        <f t="shared" si="17"/>
        <v>2480</v>
      </c>
      <c r="K18" s="126">
        <f t="shared" si="17"/>
        <v>68750</v>
      </c>
      <c r="L18" s="283">
        <f t="shared" si="17"/>
        <v>16750</v>
      </c>
      <c r="M18" s="283">
        <f t="shared" si="17"/>
        <v>0</v>
      </c>
      <c r="N18" s="126">
        <f t="shared" si="17"/>
        <v>0</v>
      </c>
      <c r="O18" s="283">
        <f t="shared" si="17"/>
        <v>0</v>
      </c>
      <c r="P18" s="283">
        <f t="shared" si="17"/>
        <v>89500</v>
      </c>
      <c r="Q18" s="126">
        <f t="shared" si="17"/>
        <v>79500</v>
      </c>
      <c r="R18" s="283">
        <f t="shared" si="17"/>
        <v>97500</v>
      </c>
      <c r="S18" s="283">
        <f t="shared" si="17"/>
        <v>0</v>
      </c>
      <c r="T18" s="283">
        <f t="shared" si="17"/>
        <v>0</v>
      </c>
      <c r="U18" s="283">
        <f t="shared" si="17"/>
        <v>157500</v>
      </c>
      <c r="V18" s="283">
        <f t="shared" si="17"/>
        <v>174000</v>
      </c>
      <c r="W18" s="283">
        <f t="shared" si="17"/>
        <v>150000</v>
      </c>
      <c r="X18" s="283">
        <f t="shared" si="17"/>
        <v>0</v>
      </c>
      <c r="Y18" s="283">
        <f t="shared" si="17"/>
        <v>0</v>
      </c>
      <c r="Z18" s="283">
        <f t="shared" si="17"/>
        <v>0</v>
      </c>
      <c r="AA18" s="283">
        <f t="shared" si="17"/>
        <v>0</v>
      </c>
      <c r="AB18" s="283">
        <f t="shared" si="17"/>
        <v>142000</v>
      </c>
      <c r="AC18" s="283">
        <f t="shared" si="17"/>
        <v>136500</v>
      </c>
      <c r="AD18" s="283">
        <f t="shared" si="17"/>
        <v>174000</v>
      </c>
      <c r="AE18" s="283">
        <f t="shared" si="17"/>
        <v>24000</v>
      </c>
      <c r="AF18" s="283">
        <f t="shared" si="17"/>
        <v>0</v>
      </c>
      <c r="AG18" s="283">
        <f t="shared" si="17"/>
        <v>172500</v>
      </c>
      <c r="AH18" s="283">
        <f>SUM(AH15:AH17)</f>
        <v>174000</v>
      </c>
      <c r="AI18" s="283">
        <f t="shared" si="17"/>
        <v>174000</v>
      </c>
      <c r="AJ18" s="283">
        <f>SUM(AJ15:AJ17)</f>
        <v>0</v>
      </c>
      <c r="AK18" s="283">
        <f>SUM(AK15:AK17)</f>
        <v>0</v>
      </c>
      <c r="AL18" s="283">
        <f>SUM(AL15:AL17)</f>
        <v>0</v>
      </c>
      <c r="AM18" s="284">
        <f>SUM(C18:AL18)</f>
        <v>1887274</v>
      </c>
      <c r="AN18" s="266" t="s">
        <v>14</v>
      </c>
      <c r="AO18" s="266" t="s">
        <v>15</v>
      </c>
      <c r="AP18" s="266" t="s">
        <v>16</v>
      </c>
      <c r="AQ18" s="267">
        <f>(AN19+AO19+AP19)-AM18</f>
        <v>0</v>
      </c>
      <c r="AR18" s="267"/>
      <c r="AS18" s="267"/>
      <c r="AT18" s="267"/>
      <c r="AU18" s="267"/>
    </row>
    <row r="19" spans="1:47" s="232" customFormat="1" ht="24" customHeight="1" x14ac:dyDescent="0.5">
      <c r="A19" s="243"/>
      <c r="B19" s="243"/>
      <c r="C19" s="264"/>
      <c r="D19" s="264"/>
      <c r="E19" s="264"/>
      <c r="F19" s="264"/>
      <c r="G19" s="264"/>
      <c r="H19" s="264"/>
      <c r="I19" s="264"/>
      <c r="J19" s="264"/>
      <c r="K19" s="104"/>
      <c r="L19" s="264"/>
      <c r="M19" s="264"/>
      <c r="N19" s="104"/>
      <c r="O19" s="264"/>
      <c r="P19" s="264"/>
      <c r="Q19" s="10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5"/>
      <c r="AN19" s="266">
        <f>SUM(C18:N18)</f>
        <v>142274</v>
      </c>
      <c r="AO19" s="266">
        <f>SUM(O18:Z18)</f>
        <v>748000</v>
      </c>
      <c r="AP19" s="266">
        <f>SUM(AA18:AL18)</f>
        <v>997000</v>
      </c>
      <c r="AQ19" s="267"/>
      <c r="AR19" s="267"/>
      <c r="AS19" s="267"/>
      <c r="AT19" s="267"/>
      <c r="AU19" s="267"/>
    </row>
    <row r="20" spans="1:47" s="232" customFormat="1" ht="24" customHeight="1" x14ac:dyDescent="0.5">
      <c r="A20" s="243" t="s">
        <v>17</v>
      </c>
      <c r="B20" s="243"/>
      <c r="C20" s="264"/>
      <c r="D20" s="264"/>
      <c r="E20" s="264"/>
      <c r="F20" s="264"/>
      <c r="G20" s="264"/>
      <c r="H20" s="264"/>
      <c r="I20" s="264"/>
      <c r="J20" s="264"/>
      <c r="K20" s="104"/>
      <c r="L20" s="264"/>
      <c r="M20" s="264"/>
      <c r="N20" s="104"/>
      <c r="O20" s="264"/>
      <c r="P20" s="264"/>
      <c r="Q20" s="10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5"/>
      <c r="AN20" s="285"/>
      <c r="AO20" s="267">
        <f>AO19-AN19</f>
        <v>605726</v>
      </c>
      <c r="AP20" s="267">
        <f>AP19-AO19</f>
        <v>249000</v>
      </c>
      <c r="AQ20" s="267"/>
      <c r="AR20" s="267"/>
      <c r="AS20" s="267"/>
      <c r="AT20" s="267"/>
      <c r="AU20" s="267"/>
    </row>
    <row r="21" spans="1:47" s="232" customFormat="1" ht="24" customHeight="1" x14ac:dyDescent="0.5">
      <c r="A21" s="238" t="s">
        <v>139</v>
      </c>
      <c r="B21" s="238"/>
      <c r="C21" s="264">
        <v>1500</v>
      </c>
      <c r="D21" s="264">
        <v>1500</v>
      </c>
      <c r="E21" s="264">
        <v>1500</v>
      </c>
      <c r="F21" s="264">
        <v>1500</v>
      </c>
      <c r="G21" s="264">
        <v>1500</v>
      </c>
      <c r="H21" s="264">
        <v>5000</v>
      </c>
      <c r="I21" s="264">
        <v>0</v>
      </c>
      <c r="J21" s="264">
        <v>0</v>
      </c>
      <c r="K21" s="104">
        <v>0</v>
      </c>
      <c r="L21" s="264">
        <v>0</v>
      </c>
      <c r="M21" s="264">
        <v>0</v>
      </c>
      <c r="N21" s="104">
        <v>0</v>
      </c>
      <c r="O21" s="264">
        <v>5000</v>
      </c>
      <c r="P21" s="264">
        <v>0</v>
      </c>
      <c r="Q21" s="104">
        <v>0</v>
      </c>
      <c r="R21" s="264">
        <v>0</v>
      </c>
      <c r="S21" s="264">
        <v>0</v>
      </c>
      <c r="T21" s="264">
        <v>5000</v>
      </c>
      <c r="U21" s="264">
        <v>0</v>
      </c>
      <c r="V21" s="264">
        <v>0</v>
      </c>
      <c r="W21" s="264">
        <v>0</v>
      </c>
      <c r="X21" s="264">
        <v>0</v>
      </c>
      <c r="Y21" s="264">
        <v>0</v>
      </c>
      <c r="Z21" s="264">
        <v>0</v>
      </c>
      <c r="AA21" s="264">
        <v>5000</v>
      </c>
      <c r="AB21" s="264">
        <v>0</v>
      </c>
      <c r="AC21" s="264">
        <v>0</v>
      </c>
      <c r="AD21" s="264">
        <v>0</v>
      </c>
      <c r="AE21" s="264">
        <v>0</v>
      </c>
      <c r="AF21" s="264">
        <v>5000</v>
      </c>
      <c r="AG21" s="264">
        <v>0</v>
      </c>
      <c r="AH21" s="264">
        <v>0</v>
      </c>
      <c r="AI21" s="264">
        <v>0</v>
      </c>
      <c r="AJ21" s="264">
        <v>0</v>
      </c>
      <c r="AK21" s="264">
        <v>0</v>
      </c>
      <c r="AL21" s="264">
        <v>0</v>
      </c>
      <c r="AM21" s="286">
        <f>SUM(C21:AL21)</f>
        <v>32500</v>
      </c>
      <c r="AN21" s="285"/>
      <c r="AO21" s="267">
        <f>AO20/AN19</f>
        <v>4.2574609556208447</v>
      </c>
      <c r="AP21" s="267">
        <f>AP20/AO19</f>
        <v>0.33288770053475936</v>
      </c>
      <c r="AQ21" s="267"/>
      <c r="AR21" s="267"/>
      <c r="AS21" s="276" t="s">
        <v>18</v>
      </c>
      <c r="AT21" s="276" t="s">
        <v>18</v>
      </c>
      <c r="AU21" s="276" t="s">
        <v>18</v>
      </c>
    </row>
    <row r="22" spans="1:47" s="3" customFormat="1" ht="24" customHeight="1" x14ac:dyDescent="0.5">
      <c r="A22" s="16" t="s">
        <v>19</v>
      </c>
      <c r="B22" s="16"/>
      <c r="C22" s="264">
        <v>0</v>
      </c>
      <c r="D22" s="264">
        <v>0</v>
      </c>
      <c r="E22" s="264">
        <v>0</v>
      </c>
      <c r="F22" s="264">
        <v>0</v>
      </c>
      <c r="G22" s="264">
        <v>0</v>
      </c>
      <c r="H22" s="264">
        <v>0</v>
      </c>
      <c r="I22" s="264">
        <v>0</v>
      </c>
      <c r="J22" s="264">
        <v>0</v>
      </c>
      <c r="K22" s="104">
        <v>0</v>
      </c>
      <c r="L22" s="264">
        <v>0</v>
      </c>
      <c r="M22" s="264">
        <f>(M19/3)*33%</f>
        <v>0</v>
      </c>
      <c r="N22" s="104">
        <v>0</v>
      </c>
      <c r="O22" s="264">
        <v>0</v>
      </c>
      <c r="P22" s="264">
        <f t="shared" ref="P22:AL22" si="18">(P19/3)*33%</f>
        <v>0</v>
      </c>
      <c r="Q22" s="104">
        <f t="shared" si="18"/>
        <v>0</v>
      </c>
      <c r="R22" s="264">
        <f t="shared" si="18"/>
        <v>0</v>
      </c>
      <c r="S22" s="264">
        <f t="shared" si="18"/>
        <v>0</v>
      </c>
      <c r="T22" s="264">
        <f t="shared" si="18"/>
        <v>0</v>
      </c>
      <c r="U22" s="264">
        <f t="shared" si="18"/>
        <v>0</v>
      </c>
      <c r="V22" s="264">
        <f t="shared" si="18"/>
        <v>0</v>
      </c>
      <c r="W22" s="264">
        <f t="shared" si="18"/>
        <v>0</v>
      </c>
      <c r="X22" s="264">
        <f t="shared" si="18"/>
        <v>0</v>
      </c>
      <c r="Y22" s="264">
        <f t="shared" si="18"/>
        <v>0</v>
      </c>
      <c r="Z22" s="264">
        <f t="shared" si="18"/>
        <v>0</v>
      </c>
      <c r="AA22" s="264">
        <f t="shared" si="18"/>
        <v>0</v>
      </c>
      <c r="AB22" s="264">
        <f t="shared" si="18"/>
        <v>0</v>
      </c>
      <c r="AC22" s="264">
        <f t="shared" si="18"/>
        <v>0</v>
      </c>
      <c r="AD22" s="264">
        <f t="shared" si="18"/>
        <v>0</v>
      </c>
      <c r="AE22" s="264">
        <f t="shared" si="18"/>
        <v>0</v>
      </c>
      <c r="AF22" s="264">
        <f t="shared" si="18"/>
        <v>0</v>
      </c>
      <c r="AG22" s="264">
        <f t="shared" si="18"/>
        <v>0</v>
      </c>
      <c r="AH22" s="264">
        <f t="shared" si="18"/>
        <v>0</v>
      </c>
      <c r="AI22" s="264">
        <f t="shared" si="18"/>
        <v>0</v>
      </c>
      <c r="AJ22" s="264">
        <f t="shared" si="18"/>
        <v>0</v>
      </c>
      <c r="AK22" s="264">
        <f t="shared" si="18"/>
        <v>0</v>
      </c>
      <c r="AL22" s="264">
        <f t="shared" si="18"/>
        <v>0</v>
      </c>
      <c r="AM22" s="286">
        <f>SUM(C22:AL22)</f>
        <v>0</v>
      </c>
      <c r="AN22" s="266" t="s">
        <v>14</v>
      </c>
      <c r="AO22" s="266" t="s">
        <v>15</v>
      </c>
      <c r="AP22" s="266" t="s">
        <v>16</v>
      </c>
      <c r="AQ22" s="68">
        <f>(AN23+AO23+AP23)-AM22-AM21</f>
        <v>0</v>
      </c>
      <c r="AR22" s="68"/>
      <c r="AS22" s="68" t="s">
        <v>14</v>
      </c>
      <c r="AT22" s="68" t="s">
        <v>15</v>
      </c>
      <c r="AU22" s="68" t="s">
        <v>16</v>
      </c>
    </row>
    <row r="23" spans="1:47" s="232" customFormat="1" ht="24" customHeight="1" x14ac:dyDescent="0.45">
      <c r="C23" s="287"/>
      <c r="D23" s="287"/>
      <c r="E23" s="287"/>
      <c r="F23" s="287"/>
      <c r="G23" s="287"/>
      <c r="H23" s="287"/>
      <c r="I23" s="287"/>
      <c r="J23" s="287"/>
      <c r="K23" s="131"/>
      <c r="L23" s="287"/>
      <c r="M23" s="287"/>
      <c r="N23" s="131"/>
      <c r="O23" s="287"/>
      <c r="P23" s="287"/>
      <c r="Q23" s="131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67"/>
      <c r="AM23" s="288">
        <f>AM21+AM22</f>
        <v>32500</v>
      </c>
      <c r="AN23" s="289">
        <f>SUM(C21:N21)+SUM(C22:N22)</f>
        <v>12500</v>
      </c>
      <c r="AO23" s="289">
        <f>SUM(O21:Z21)+SUM(O22:Z22)</f>
        <v>10000</v>
      </c>
      <c r="AP23" s="289">
        <f>SUM(AA21:AL21)+SUM(AA22:AL22)</f>
        <v>10000</v>
      </c>
      <c r="AQ23" s="290">
        <f>(AM21+AM22)/409847</f>
        <v>7.9297884332446014E-2</v>
      </c>
      <c r="AR23" s="267"/>
      <c r="AS23" s="267">
        <f>AN19-AN23</f>
        <v>129774</v>
      </c>
      <c r="AT23" s="267">
        <f>AO19-AO23</f>
        <v>738000</v>
      </c>
      <c r="AU23" s="267">
        <f>AP19-AP23</f>
        <v>987000</v>
      </c>
    </row>
    <row r="24" spans="1:47" s="232" customFormat="1" ht="24" customHeight="1" thickBot="1" x14ac:dyDescent="0.55000000000000004">
      <c r="A24" s="244" t="s">
        <v>20</v>
      </c>
      <c r="B24" s="244"/>
      <c r="C24" s="291">
        <f>(0+(C18))-((C22)+(C21))</f>
        <v>300</v>
      </c>
      <c r="D24" s="291">
        <f t="shared" ref="D24:AL24" si="19">(0+(D18))-((D22)+(D21))</f>
        <v>11750</v>
      </c>
      <c r="E24" s="291">
        <f>(0+(E18))-((E22)+(E21))</f>
        <v>33254</v>
      </c>
      <c r="F24" s="291">
        <f t="shared" si="19"/>
        <v>250</v>
      </c>
      <c r="G24" s="291">
        <f t="shared" si="19"/>
        <v>-750</v>
      </c>
      <c r="H24" s="291">
        <f t="shared" si="19"/>
        <v>-4250</v>
      </c>
      <c r="I24" s="291">
        <f t="shared" si="19"/>
        <v>1240</v>
      </c>
      <c r="J24" s="291">
        <f t="shared" si="19"/>
        <v>2480</v>
      </c>
      <c r="K24" s="133">
        <f t="shared" si="19"/>
        <v>68750</v>
      </c>
      <c r="L24" s="291">
        <f t="shared" si="19"/>
        <v>16750</v>
      </c>
      <c r="M24" s="291">
        <f t="shared" si="19"/>
        <v>0</v>
      </c>
      <c r="N24" s="133">
        <f t="shared" si="19"/>
        <v>0</v>
      </c>
      <c r="O24" s="291">
        <f t="shared" si="19"/>
        <v>-5000</v>
      </c>
      <c r="P24" s="291">
        <f t="shared" si="19"/>
        <v>89500</v>
      </c>
      <c r="Q24" s="133">
        <f t="shared" si="19"/>
        <v>79500</v>
      </c>
      <c r="R24" s="291">
        <f t="shared" si="19"/>
        <v>97500</v>
      </c>
      <c r="S24" s="291">
        <f t="shared" si="19"/>
        <v>0</v>
      </c>
      <c r="T24" s="291">
        <f t="shared" si="19"/>
        <v>-5000</v>
      </c>
      <c r="U24" s="291">
        <f t="shared" si="19"/>
        <v>157500</v>
      </c>
      <c r="V24" s="291">
        <f t="shared" si="19"/>
        <v>174000</v>
      </c>
      <c r="W24" s="291">
        <f t="shared" si="19"/>
        <v>150000</v>
      </c>
      <c r="X24" s="291">
        <f t="shared" si="19"/>
        <v>0</v>
      </c>
      <c r="Y24" s="291">
        <f t="shared" si="19"/>
        <v>0</v>
      </c>
      <c r="Z24" s="291">
        <f t="shared" si="19"/>
        <v>0</v>
      </c>
      <c r="AA24" s="291">
        <f t="shared" si="19"/>
        <v>-5000</v>
      </c>
      <c r="AB24" s="291">
        <f t="shared" si="19"/>
        <v>142000</v>
      </c>
      <c r="AC24" s="291">
        <f t="shared" si="19"/>
        <v>136500</v>
      </c>
      <c r="AD24" s="291">
        <f t="shared" si="19"/>
        <v>174000</v>
      </c>
      <c r="AE24" s="291">
        <f t="shared" si="19"/>
        <v>24000</v>
      </c>
      <c r="AF24" s="291">
        <f t="shared" si="19"/>
        <v>-5000</v>
      </c>
      <c r="AG24" s="291">
        <f t="shared" si="19"/>
        <v>172500</v>
      </c>
      <c r="AH24" s="291">
        <f t="shared" si="19"/>
        <v>174000</v>
      </c>
      <c r="AI24" s="291">
        <f t="shared" si="19"/>
        <v>174000</v>
      </c>
      <c r="AJ24" s="291">
        <f t="shared" si="19"/>
        <v>0</v>
      </c>
      <c r="AK24" s="291">
        <f t="shared" si="19"/>
        <v>0</v>
      </c>
      <c r="AL24" s="291">
        <f t="shared" si="19"/>
        <v>0</v>
      </c>
      <c r="AM24" s="291">
        <f>(0+(AM18))-((AM22)+(AM21))</f>
        <v>1854774</v>
      </c>
      <c r="AN24" s="292"/>
      <c r="AO24" s="267">
        <f>AO23-AN23</f>
        <v>-2500</v>
      </c>
      <c r="AP24" s="267">
        <f>AP23-AO23</f>
        <v>0</v>
      </c>
      <c r="AQ24" s="267"/>
      <c r="AR24" s="267"/>
      <c r="AS24" s="267"/>
      <c r="AT24" s="267"/>
      <c r="AU24" s="267"/>
    </row>
    <row r="25" spans="1:47" s="3" customFormat="1" ht="24" customHeight="1" thickTop="1" x14ac:dyDescent="0.45">
      <c r="C25" s="287"/>
      <c r="D25" s="287"/>
      <c r="E25" s="287"/>
      <c r="F25" s="287"/>
      <c r="G25" s="287"/>
      <c r="H25" s="287"/>
      <c r="I25" s="287"/>
      <c r="J25" s="287"/>
      <c r="K25" s="131"/>
      <c r="L25" s="287"/>
      <c r="M25" s="287"/>
      <c r="N25" s="131"/>
      <c r="O25" s="287"/>
      <c r="P25" s="287"/>
      <c r="Q25" s="131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8"/>
      <c r="AN25" s="293">
        <f>AM18-AM21-AM22-AM24</f>
        <v>0</v>
      </c>
      <c r="AO25" s="267">
        <f>AO24/AN23</f>
        <v>-0.2</v>
      </c>
      <c r="AP25" s="267">
        <f>AP24/AO23</f>
        <v>0</v>
      </c>
      <c r="AQ25" s="68"/>
      <c r="AR25" s="68"/>
      <c r="AS25" s="68"/>
      <c r="AT25" s="68"/>
      <c r="AU25" s="68"/>
    </row>
    <row r="26" spans="1:47" s="3" customFormat="1" ht="24" customHeight="1" x14ac:dyDescent="0.45">
      <c r="C26" s="287"/>
      <c r="D26" s="287"/>
      <c r="E26" s="287"/>
      <c r="F26" s="287"/>
      <c r="G26" s="287"/>
      <c r="H26" s="287"/>
      <c r="I26" s="287"/>
      <c r="J26" s="287"/>
      <c r="K26" s="131"/>
      <c r="L26" s="287"/>
      <c r="M26" s="287"/>
      <c r="N26" s="131"/>
      <c r="O26" s="287"/>
      <c r="P26" s="287"/>
      <c r="Q26" s="131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8"/>
      <c r="AN26" s="294" t="s">
        <v>14</v>
      </c>
      <c r="AO26" s="294" t="s">
        <v>15</v>
      </c>
      <c r="AP26" s="294" t="s">
        <v>16</v>
      </c>
      <c r="AQ26" s="68"/>
      <c r="AR26" s="68"/>
      <c r="AS26" s="68"/>
      <c r="AT26" s="68"/>
      <c r="AU26" s="68"/>
    </row>
    <row r="27" spans="1:47" s="3" customFormat="1" ht="24" customHeight="1" x14ac:dyDescent="0.45">
      <c r="A27" s="7" t="s">
        <v>21</v>
      </c>
      <c r="B27" s="7"/>
      <c r="C27" s="287"/>
      <c r="D27" s="287"/>
      <c r="E27" s="287"/>
      <c r="F27" s="287"/>
      <c r="G27" s="287"/>
      <c r="H27" s="287"/>
      <c r="I27" s="287"/>
      <c r="J27" s="287"/>
      <c r="K27" s="131"/>
      <c r="L27" s="287"/>
      <c r="M27" s="287"/>
      <c r="N27" s="131"/>
      <c r="O27" s="287"/>
      <c r="P27" s="287"/>
      <c r="Q27" s="131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8"/>
      <c r="AN27" s="68"/>
      <c r="AO27" s="68"/>
      <c r="AP27" s="68"/>
      <c r="AQ27" s="68"/>
      <c r="AR27" s="68"/>
      <c r="AS27" s="68"/>
      <c r="AT27" s="68"/>
      <c r="AU27" s="68"/>
    </row>
    <row r="28" spans="1:47" s="3" customFormat="1" ht="24" customHeight="1" x14ac:dyDescent="0.5">
      <c r="A28" s="16" t="s">
        <v>22</v>
      </c>
      <c r="B28" s="239"/>
      <c r="C28" s="264">
        <v>3500</v>
      </c>
      <c r="D28" s="264">
        <f>C28</f>
        <v>3500</v>
      </c>
      <c r="E28" s="264">
        <f t="shared" ref="E28:N28" si="20">D28</f>
        <v>3500</v>
      </c>
      <c r="F28" s="264">
        <f t="shared" si="20"/>
        <v>3500</v>
      </c>
      <c r="G28" s="264">
        <f t="shared" si="20"/>
        <v>3500</v>
      </c>
      <c r="H28" s="264">
        <f>G28</f>
        <v>3500</v>
      </c>
      <c r="I28" s="264">
        <f t="shared" si="20"/>
        <v>3500</v>
      </c>
      <c r="J28" s="264">
        <f t="shared" si="20"/>
        <v>3500</v>
      </c>
      <c r="K28" s="104">
        <f>J28</f>
        <v>3500</v>
      </c>
      <c r="L28" s="264">
        <v>3500</v>
      </c>
      <c r="M28" s="264">
        <v>3500</v>
      </c>
      <c r="N28" s="104">
        <f t="shared" si="20"/>
        <v>3500</v>
      </c>
      <c r="O28" s="264">
        <v>9000</v>
      </c>
      <c r="P28" s="264">
        <f>O28</f>
        <v>9000</v>
      </c>
      <c r="Q28" s="104">
        <f t="shared" ref="Q28:Z28" si="21">P28</f>
        <v>9000</v>
      </c>
      <c r="R28" s="264">
        <f t="shared" si="21"/>
        <v>9000</v>
      </c>
      <c r="S28" s="264">
        <f>R28</f>
        <v>9000</v>
      </c>
      <c r="T28" s="264">
        <f t="shared" si="21"/>
        <v>9000</v>
      </c>
      <c r="U28" s="264">
        <f t="shared" si="21"/>
        <v>9000</v>
      </c>
      <c r="V28" s="264">
        <f t="shared" si="21"/>
        <v>9000</v>
      </c>
      <c r="W28" s="264">
        <f t="shared" si="21"/>
        <v>9000</v>
      </c>
      <c r="X28" s="264">
        <f t="shared" si="21"/>
        <v>9000</v>
      </c>
      <c r="Y28" s="264">
        <f t="shared" si="21"/>
        <v>9000</v>
      </c>
      <c r="Z28" s="264">
        <f t="shared" si="21"/>
        <v>9000</v>
      </c>
      <c r="AA28" s="264">
        <v>12000</v>
      </c>
      <c r="AB28" s="264">
        <f>AA28</f>
        <v>12000</v>
      </c>
      <c r="AC28" s="264">
        <f t="shared" ref="AC28:AL28" si="22">AB28</f>
        <v>12000</v>
      </c>
      <c r="AD28" s="264">
        <f t="shared" si="22"/>
        <v>12000</v>
      </c>
      <c r="AE28" s="264">
        <f t="shared" si="22"/>
        <v>12000</v>
      </c>
      <c r="AF28" s="264">
        <f t="shared" si="22"/>
        <v>12000</v>
      </c>
      <c r="AG28" s="264">
        <f t="shared" si="22"/>
        <v>12000</v>
      </c>
      <c r="AH28" s="264">
        <f t="shared" si="22"/>
        <v>12000</v>
      </c>
      <c r="AI28" s="264">
        <f t="shared" si="22"/>
        <v>12000</v>
      </c>
      <c r="AJ28" s="264">
        <f t="shared" si="22"/>
        <v>12000</v>
      </c>
      <c r="AK28" s="264">
        <f t="shared" si="22"/>
        <v>12000</v>
      </c>
      <c r="AL28" s="264">
        <f t="shared" si="22"/>
        <v>12000</v>
      </c>
      <c r="AM28" s="286">
        <f>SUM(C28:AL28)</f>
        <v>294000</v>
      </c>
      <c r="AN28" s="294">
        <f>SUM(C24:N24)</f>
        <v>129774</v>
      </c>
      <c r="AO28" s="294">
        <f>SUM(O24:Z24)</f>
        <v>738000</v>
      </c>
      <c r="AP28" s="294">
        <f>SUM(AA24:AL24)</f>
        <v>987000</v>
      </c>
      <c r="AQ28" s="68">
        <f t="shared" ref="AQ28:AQ56" si="23">AN29+AO29+AP29-AM28</f>
        <v>0</v>
      </c>
      <c r="AR28" s="68"/>
      <c r="AS28" s="68"/>
      <c r="AT28" s="68">
        <f>SUM(C28:AB28)</f>
        <v>174000</v>
      </c>
      <c r="AU28" s="68"/>
    </row>
    <row r="29" spans="1:47" s="3" customFormat="1" ht="24" customHeight="1" x14ac:dyDescent="0.5">
      <c r="A29" s="16"/>
      <c r="B29" s="239"/>
      <c r="C29" s="264"/>
      <c r="D29" s="264"/>
      <c r="E29" s="264"/>
      <c r="F29" s="264"/>
      <c r="G29" s="264"/>
      <c r="H29" s="264"/>
      <c r="I29" s="264"/>
      <c r="J29" s="264"/>
      <c r="K29" s="104"/>
      <c r="L29" s="264"/>
      <c r="M29" s="264"/>
      <c r="N29" s="104"/>
      <c r="O29" s="269"/>
      <c r="P29" s="264"/>
      <c r="Q29" s="104"/>
      <c r="R29" s="264"/>
      <c r="S29" s="264"/>
      <c r="T29" s="264"/>
      <c r="U29" s="264"/>
      <c r="V29" s="264"/>
      <c r="W29" s="264"/>
      <c r="X29" s="264"/>
      <c r="Y29" s="264"/>
      <c r="Z29" s="264"/>
      <c r="AA29" s="269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86">
        <f>SUM(C29:AL29)</f>
        <v>0</v>
      </c>
      <c r="AN29" s="289">
        <f>SUM(C28:N28)</f>
        <v>42000</v>
      </c>
      <c r="AO29" s="289">
        <f>SUM(O28:Z28)</f>
        <v>108000</v>
      </c>
      <c r="AP29" s="289">
        <f>SUM(AA28:AL28)</f>
        <v>144000</v>
      </c>
      <c r="AQ29" s="68">
        <f t="shared" si="23"/>
        <v>0</v>
      </c>
      <c r="AR29" s="68"/>
      <c r="AS29" s="68"/>
      <c r="AT29" s="68">
        <f>SUM(C29:AB29)</f>
        <v>0</v>
      </c>
      <c r="AU29" s="68"/>
    </row>
    <row r="30" spans="1:47" s="3" customFormat="1" ht="24" customHeight="1" x14ac:dyDescent="0.5">
      <c r="A30" s="16" t="s">
        <v>23</v>
      </c>
      <c r="B30" s="16"/>
      <c r="C30" s="264">
        <v>450</v>
      </c>
      <c r="D30" s="264">
        <f>C30</f>
        <v>450</v>
      </c>
      <c r="E30" s="264">
        <f t="shared" ref="E30:N31" si="24">D30</f>
        <v>450</v>
      </c>
      <c r="F30" s="264">
        <f t="shared" si="24"/>
        <v>450</v>
      </c>
      <c r="G30" s="264">
        <f t="shared" si="24"/>
        <v>450</v>
      </c>
      <c r="H30" s="264">
        <f t="shared" si="24"/>
        <v>450</v>
      </c>
      <c r="I30" s="264">
        <f t="shared" si="24"/>
        <v>450</v>
      </c>
      <c r="J30" s="264">
        <f t="shared" si="24"/>
        <v>450</v>
      </c>
      <c r="K30" s="104">
        <f t="shared" si="24"/>
        <v>450</v>
      </c>
      <c r="L30" s="264">
        <f t="shared" si="24"/>
        <v>450</v>
      </c>
      <c r="M30" s="264">
        <f t="shared" si="24"/>
        <v>450</v>
      </c>
      <c r="N30" s="104">
        <f t="shared" si="24"/>
        <v>450</v>
      </c>
      <c r="O30" s="264">
        <v>750</v>
      </c>
      <c r="P30" s="264">
        <f t="shared" ref="P30:Z30" si="25">O30</f>
        <v>750</v>
      </c>
      <c r="Q30" s="104">
        <f t="shared" si="25"/>
        <v>750</v>
      </c>
      <c r="R30" s="264">
        <f t="shared" si="25"/>
        <v>750</v>
      </c>
      <c r="S30" s="264">
        <f t="shared" si="25"/>
        <v>750</v>
      </c>
      <c r="T30" s="264">
        <f t="shared" si="25"/>
        <v>750</v>
      </c>
      <c r="U30" s="264">
        <f t="shared" si="25"/>
        <v>750</v>
      </c>
      <c r="V30" s="264">
        <f t="shared" si="25"/>
        <v>750</v>
      </c>
      <c r="W30" s="264">
        <f t="shared" si="25"/>
        <v>750</v>
      </c>
      <c r="X30" s="264">
        <f t="shared" si="25"/>
        <v>750</v>
      </c>
      <c r="Y30" s="264">
        <f t="shared" si="25"/>
        <v>750</v>
      </c>
      <c r="Z30" s="264">
        <f t="shared" si="25"/>
        <v>750</v>
      </c>
      <c r="AA30" s="264">
        <v>1200</v>
      </c>
      <c r="AB30" s="264">
        <v>1200</v>
      </c>
      <c r="AC30" s="264">
        <v>1200</v>
      </c>
      <c r="AD30" s="264">
        <v>1200</v>
      </c>
      <c r="AE30" s="264">
        <v>1200</v>
      </c>
      <c r="AF30" s="264">
        <v>1200</v>
      </c>
      <c r="AG30" s="264">
        <v>1200</v>
      </c>
      <c r="AH30" s="264">
        <v>1200</v>
      </c>
      <c r="AI30" s="264">
        <v>1200</v>
      </c>
      <c r="AJ30" s="264">
        <v>1200</v>
      </c>
      <c r="AK30" s="264">
        <v>1200</v>
      </c>
      <c r="AL30" s="264">
        <v>1200</v>
      </c>
      <c r="AM30" s="286">
        <f>SUM(C30:AL30)</f>
        <v>28800</v>
      </c>
      <c r="AN30" s="289">
        <f>SUM(C29:N29)</f>
        <v>0</v>
      </c>
      <c r="AO30" s="289">
        <f>SUM(O29:Z29)</f>
        <v>0</v>
      </c>
      <c r="AP30" s="289">
        <f>SUM(AA29:AL29)</f>
        <v>0</v>
      </c>
      <c r="AQ30" s="68">
        <f t="shared" si="23"/>
        <v>0</v>
      </c>
      <c r="AR30" s="68"/>
      <c r="AS30" s="68"/>
      <c r="AT30" s="68"/>
      <c r="AU30" s="68"/>
    </row>
    <row r="31" spans="1:47" s="3" customFormat="1" ht="24" customHeight="1" x14ac:dyDescent="0.5">
      <c r="A31" s="16" t="s">
        <v>24</v>
      </c>
      <c r="B31" s="16"/>
      <c r="C31" s="264">
        <v>0</v>
      </c>
      <c r="D31" s="264">
        <v>0</v>
      </c>
      <c r="E31" s="264">
        <v>0</v>
      </c>
      <c r="F31" s="264">
        <v>0</v>
      </c>
      <c r="G31" s="264">
        <f>F31</f>
        <v>0</v>
      </c>
      <c r="H31" s="264">
        <f>G31</f>
        <v>0</v>
      </c>
      <c r="I31" s="264">
        <f t="shared" si="24"/>
        <v>0</v>
      </c>
      <c r="J31" s="264">
        <f t="shared" si="24"/>
        <v>0</v>
      </c>
      <c r="K31" s="104">
        <v>0</v>
      </c>
      <c r="L31" s="264">
        <v>0</v>
      </c>
      <c r="M31" s="264">
        <v>0</v>
      </c>
      <c r="N31" s="104">
        <v>0</v>
      </c>
      <c r="O31" s="264">
        <v>0</v>
      </c>
      <c r="P31" s="264">
        <v>50000</v>
      </c>
      <c r="Q31" s="104">
        <v>50000</v>
      </c>
      <c r="R31" s="264">
        <v>50000</v>
      </c>
      <c r="S31" s="264">
        <v>0</v>
      </c>
      <c r="T31" s="264">
        <v>0</v>
      </c>
      <c r="U31" s="264">
        <v>50000</v>
      </c>
      <c r="V31" s="264">
        <v>50000</v>
      </c>
      <c r="W31" s="264">
        <v>50000</v>
      </c>
      <c r="X31" s="264">
        <v>0</v>
      </c>
      <c r="Y31" s="264">
        <v>0</v>
      </c>
      <c r="Z31" s="264">
        <v>0</v>
      </c>
      <c r="AA31" s="264">
        <v>0</v>
      </c>
      <c r="AB31" s="264">
        <v>75000</v>
      </c>
      <c r="AC31" s="264">
        <v>50000</v>
      </c>
      <c r="AD31" s="264">
        <v>50000</v>
      </c>
      <c r="AE31" s="264">
        <v>0</v>
      </c>
      <c r="AF31" s="264">
        <v>0</v>
      </c>
      <c r="AG31" s="264">
        <v>50000</v>
      </c>
      <c r="AH31" s="264">
        <v>50000</v>
      </c>
      <c r="AI31" s="264">
        <v>50000</v>
      </c>
      <c r="AJ31" s="264">
        <v>0</v>
      </c>
      <c r="AK31" s="264">
        <v>0</v>
      </c>
      <c r="AL31" s="264">
        <v>0</v>
      </c>
      <c r="AM31" s="265">
        <f>SUM(C31:AL31)</f>
        <v>625000</v>
      </c>
      <c r="AN31" s="295">
        <f>SUM(C30:N30)</f>
        <v>5400</v>
      </c>
      <c r="AO31" s="294">
        <f>SUM(O30:Z30)</f>
        <v>9000</v>
      </c>
      <c r="AP31" s="294">
        <f>SUM(AA30:AL30)</f>
        <v>14400</v>
      </c>
      <c r="AQ31" s="68">
        <f t="shared" si="23"/>
        <v>0</v>
      </c>
      <c r="AR31" s="68"/>
      <c r="AS31" s="68"/>
      <c r="AT31" s="68">
        <f>SUM(C31:AB31)</f>
        <v>375000</v>
      </c>
      <c r="AU31" s="68"/>
    </row>
    <row r="32" spans="1:47" s="3" customFormat="1" ht="24" customHeight="1" x14ac:dyDescent="0.5">
      <c r="A32" s="24" t="s">
        <v>25</v>
      </c>
      <c r="B32" s="16"/>
      <c r="C32" s="634"/>
      <c r="D32" s="634"/>
      <c r="E32" s="634"/>
      <c r="F32" s="634"/>
      <c r="G32" s="634"/>
      <c r="H32" s="634"/>
      <c r="I32" s="634"/>
      <c r="J32" s="634"/>
      <c r="K32" s="634"/>
      <c r="L32" s="634"/>
      <c r="M32" s="634"/>
      <c r="N32" s="634"/>
      <c r="O32" s="634"/>
      <c r="P32" s="634"/>
      <c r="Q32" s="634"/>
      <c r="R32" s="634"/>
      <c r="S32" s="634"/>
      <c r="T32" s="634"/>
      <c r="U32" s="634"/>
      <c r="V32" s="634"/>
      <c r="W32" s="634"/>
      <c r="X32" s="634"/>
      <c r="Y32" s="634"/>
      <c r="Z32" s="634"/>
      <c r="AA32" s="634"/>
      <c r="AB32" s="634"/>
      <c r="AC32" s="634"/>
      <c r="AD32" s="634"/>
      <c r="AE32" s="634"/>
      <c r="AF32" s="634"/>
      <c r="AG32" s="634"/>
      <c r="AH32" s="634"/>
      <c r="AI32" s="634"/>
      <c r="AJ32" s="634"/>
      <c r="AK32" s="634"/>
      <c r="AL32" s="634"/>
      <c r="AM32" s="634"/>
      <c r="AN32" s="296">
        <f>SUM(C31:N31)</f>
        <v>0</v>
      </c>
      <c r="AO32" s="296">
        <f>SUM(O31:Z31)</f>
        <v>300000</v>
      </c>
      <c r="AP32" s="296">
        <f>SUM(AA31:AL31)</f>
        <v>325000</v>
      </c>
      <c r="AQ32" s="68">
        <f t="shared" si="23"/>
        <v>0</v>
      </c>
      <c r="AR32" s="68"/>
      <c r="AS32" s="68">
        <f>AM31/36</f>
        <v>17361.111111111109</v>
      </c>
      <c r="AT32" s="68"/>
      <c r="AU32" s="68"/>
    </row>
    <row r="33" spans="1:47" s="3" customFormat="1" ht="24" customHeight="1" x14ac:dyDescent="0.5">
      <c r="A33" s="16" t="s">
        <v>26</v>
      </c>
      <c r="B33" s="16"/>
      <c r="C33" s="297">
        <v>0</v>
      </c>
      <c r="D33" s="264">
        <v>0</v>
      </c>
      <c r="E33" s="264">
        <v>9000</v>
      </c>
      <c r="F33" s="264">
        <v>0</v>
      </c>
      <c r="G33" s="264">
        <v>0</v>
      </c>
      <c r="H33" s="264">
        <v>0</v>
      </c>
      <c r="I33" s="264">
        <v>0</v>
      </c>
      <c r="J33" s="264">
        <v>0</v>
      </c>
      <c r="K33" s="104">
        <v>20000</v>
      </c>
      <c r="L33" s="264">
        <v>4000</v>
      </c>
      <c r="M33" s="264">
        <v>0</v>
      </c>
      <c r="N33" s="104">
        <f t="shared" ref="N33" si="26">M33</f>
        <v>0</v>
      </c>
      <c r="O33" s="264">
        <v>0</v>
      </c>
      <c r="P33" s="264">
        <v>16000</v>
      </c>
      <c r="Q33" s="104">
        <v>3000</v>
      </c>
      <c r="R33" s="264">
        <v>0</v>
      </c>
      <c r="S33" s="264">
        <v>0</v>
      </c>
      <c r="T33" s="264">
        <v>0</v>
      </c>
      <c r="U33" s="264">
        <v>16000</v>
      </c>
      <c r="V33" s="264">
        <v>6000</v>
      </c>
      <c r="W33" s="264">
        <v>0</v>
      </c>
      <c r="X33" s="264">
        <v>0</v>
      </c>
      <c r="Y33" s="264">
        <v>0</v>
      </c>
      <c r="Z33" s="264">
        <v>0</v>
      </c>
      <c r="AA33" s="264">
        <v>0</v>
      </c>
      <c r="AB33" s="264">
        <v>16000</v>
      </c>
      <c r="AC33" s="264">
        <v>6000</v>
      </c>
      <c r="AD33" s="264">
        <v>6000</v>
      </c>
      <c r="AE33" s="264">
        <v>6000</v>
      </c>
      <c r="AF33" s="264">
        <v>0</v>
      </c>
      <c r="AG33" s="264">
        <v>16000</v>
      </c>
      <c r="AH33" s="264">
        <v>6000</v>
      </c>
      <c r="AI33" s="264">
        <v>6000</v>
      </c>
      <c r="AJ33" s="264">
        <v>0</v>
      </c>
      <c r="AK33" s="264">
        <v>0</v>
      </c>
      <c r="AL33" s="264">
        <v>0</v>
      </c>
      <c r="AM33" s="265">
        <f>SUM(C33:AL33)</f>
        <v>136000</v>
      </c>
      <c r="AN33" s="298"/>
      <c r="AO33" s="68"/>
      <c r="AP33" s="68"/>
      <c r="AQ33" s="68">
        <f t="shared" si="23"/>
        <v>0</v>
      </c>
      <c r="AR33" s="68"/>
      <c r="AS33" s="68"/>
      <c r="AT33" s="68"/>
      <c r="AU33" s="68"/>
    </row>
    <row r="34" spans="1:47" s="3" customFormat="1" ht="24" customHeight="1" x14ac:dyDescent="0.5">
      <c r="A34" s="16" t="s">
        <v>27</v>
      </c>
      <c r="B34" s="16"/>
      <c r="C34" s="264">
        <v>0</v>
      </c>
      <c r="D34" s="264">
        <f>C34</f>
        <v>0</v>
      </c>
      <c r="E34" s="264">
        <f>D34</f>
        <v>0</v>
      </c>
      <c r="F34" s="264">
        <f t="shared" ref="F34:AL34" si="27">E34</f>
        <v>0</v>
      </c>
      <c r="G34" s="264">
        <f t="shared" si="27"/>
        <v>0</v>
      </c>
      <c r="H34" s="264">
        <f t="shared" si="27"/>
        <v>0</v>
      </c>
      <c r="I34" s="264">
        <f t="shared" si="27"/>
        <v>0</v>
      </c>
      <c r="J34" s="264">
        <f t="shared" si="27"/>
        <v>0</v>
      </c>
      <c r="K34" s="104">
        <f t="shared" si="27"/>
        <v>0</v>
      </c>
      <c r="L34" s="264">
        <f t="shared" si="27"/>
        <v>0</v>
      </c>
      <c r="M34" s="264">
        <f t="shared" si="27"/>
        <v>0</v>
      </c>
      <c r="N34" s="104">
        <f t="shared" si="27"/>
        <v>0</v>
      </c>
      <c r="O34" s="264">
        <v>500</v>
      </c>
      <c r="P34" s="264">
        <f t="shared" si="27"/>
        <v>500</v>
      </c>
      <c r="Q34" s="104">
        <f t="shared" si="27"/>
        <v>500</v>
      </c>
      <c r="R34" s="264">
        <f t="shared" si="27"/>
        <v>500</v>
      </c>
      <c r="S34" s="264">
        <f t="shared" si="27"/>
        <v>500</v>
      </c>
      <c r="T34" s="264">
        <f t="shared" si="27"/>
        <v>500</v>
      </c>
      <c r="U34" s="264">
        <f t="shared" si="27"/>
        <v>500</v>
      </c>
      <c r="V34" s="264">
        <f t="shared" si="27"/>
        <v>500</v>
      </c>
      <c r="W34" s="264">
        <f t="shared" si="27"/>
        <v>500</v>
      </c>
      <c r="X34" s="264">
        <f t="shared" si="27"/>
        <v>500</v>
      </c>
      <c r="Y34" s="264">
        <f t="shared" si="27"/>
        <v>500</v>
      </c>
      <c r="Z34" s="264">
        <f t="shared" si="27"/>
        <v>500</v>
      </c>
      <c r="AA34" s="264">
        <f t="shared" si="27"/>
        <v>500</v>
      </c>
      <c r="AB34" s="264">
        <f t="shared" si="27"/>
        <v>500</v>
      </c>
      <c r="AC34" s="264">
        <f t="shared" si="27"/>
        <v>500</v>
      </c>
      <c r="AD34" s="264">
        <f t="shared" si="27"/>
        <v>500</v>
      </c>
      <c r="AE34" s="264">
        <f t="shared" si="27"/>
        <v>500</v>
      </c>
      <c r="AF34" s="264">
        <f t="shared" si="27"/>
        <v>500</v>
      </c>
      <c r="AG34" s="264">
        <f t="shared" si="27"/>
        <v>500</v>
      </c>
      <c r="AH34" s="264">
        <f t="shared" si="27"/>
        <v>500</v>
      </c>
      <c r="AI34" s="264">
        <f t="shared" si="27"/>
        <v>500</v>
      </c>
      <c r="AJ34" s="264">
        <f t="shared" si="27"/>
        <v>500</v>
      </c>
      <c r="AK34" s="264">
        <f t="shared" si="27"/>
        <v>500</v>
      </c>
      <c r="AL34" s="264">
        <f t="shared" si="27"/>
        <v>500</v>
      </c>
      <c r="AM34" s="265">
        <f>SUM(C34:AL34)</f>
        <v>12000</v>
      </c>
      <c r="AN34" s="299">
        <f t="shared" ref="AN34:AN48" si="28">SUM(C33:N33)</f>
        <v>33000</v>
      </c>
      <c r="AO34" s="299">
        <f t="shared" ref="AO34:AO48" si="29">SUM(O33:Z33)</f>
        <v>41000</v>
      </c>
      <c r="AP34" s="299">
        <f t="shared" ref="AP34:AP48" si="30">SUM(AA33:AL33)</f>
        <v>62000</v>
      </c>
      <c r="AQ34" s="68">
        <f t="shared" si="23"/>
        <v>0</v>
      </c>
      <c r="AR34" s="300">
        <f>B34*2%-AM34</f>
        <v>-12000</v>
      </c>
      <c r="AS34" s="68"/>
      <c r="AT34" s="68"/>
      <c r="AU34" s="68"/>
    </row>
    <row r="35" spans="1:47" s="3" customFormat="1" ht="24" customHeight="1" x14ac:dyDescent="0.5">
      <c r="A35" s="16" t="s">
        <v>28</v>
      </c>
      <c r="B35" s="16"/>
      <c r="C35" s="297">
        <f>(0/36)</f>
        <v>0</v>
      </c>
      <c r="D35" s="264">
        <f t="shared" ref="D35:S50" si="31">C35</f>
        <v>0</v>
      </c>
      <c r="E35" s="264">
        <f t="shared" si="31"/>
        <v>0</v>
      </c>
      <c r="F35" s="264">
        <f t="shared" si="31"/>
        <v>0</v>
      </c>
      <c r="G35" s="264">
        <f t="shared" si="31"/>
        <v>0</v>
      </c>
      <c r="H35" s="264">
        <f t="shared" si="31"/>
        <v>0</v>
      </c>
      <c r="I35" s="264">
        <f t="shared" si="31"/>
        <v>0</v>
      </c>
      <c r="J35" s="264">
        <f t="shared" si="31"/>
        <v>0</v>
      </c>
      <c r="K35" s="104">
        <f t="shared" si="31"/>
        <v>0</v>
      </c>
      <c r="L35" s="264">
        <f t="shared" si="31"/>
        <v>0</v>
      </c>
      <c r="M35" s="264">
        <f t="shared" si="31"/>
        <v>0</v>
      </c>
      <c r="N35" s="104">
        <f t="shared" si="31"/>
        <v>0</v>
      </c>
      <c r="O35" s="264">
        <f t="shared" ref="O35:AL35" si="32">6480/3/12*1</f>
        <v>180</v>
      </c>
      <c r="P35" s="264">
        <f t="shared" si="32"/>
        <v>180</v>
      </c>
      <c r="Q35" s="104">
        <f t="shared" si="32"/>
        <v>180</v>
      </c>
      <c r="R35" s="264">
        <f t="shared" si="32"/>
        <v>180</v>
      </c>
      <c r="S35" s="264">
        <f t="shared" si="32"/>
        <v>180</v>
      </c>
      <c r="T35" s="264">
        <f t="shared" si="32"/>
        <v>180</v>
      </c>
      <c r="U35" s="264">
        <f t="shared" si="32"/>
        <v>180</v>
      </c>
      <c r="V35" s="264">
        <f t="shared" si="32"/>
        <v>180</v>
      </c>
      <c r="W35" s="264">
        <f t="shared" si="32"/>
        <v>180</v>
      </c>
      <c r="X35" s="264">
        <f t="shared" si="32"/>
        <v>180</v>
      </c>
      <c r="Y35" s="264">
        <f t="shared" si="32"/>
        <v>180</v>
      </c>
      <c r="Z35" s="264">
        <f t="shared" si="32"/>
        <v>180</v>
      </c>
      <c r="AA35" s="264">
        <f t="shared" si="32"/>
        <v>180</v>
      </c>
      <c r="AB35" s="264">
        <f t="shared" si="32"/>
        <v>180</v>
      </c>
      <c r="AC35" s="264">
        <f t="shared" si="32"/>
        <v>180</v>
      </c>
      <c r="AD35" s="264">
        <f t="shared" si="32"/>
        <v>180</v>
      </c>
      <c r="AE35" s="264">
        <f t="shared" si="32"/>
        <v>180</v>
      </c>
      <c r="AF35" s="264">
        <f t="shared" si="32"/>
        <v>180</v>
      </c>
      <c r="AG35" s="264">
        <f t="shared" si="32"/>
        <v>180</v>
      </c>
      <c r="AH35" s="264">
        <f t="shared" si="32"/>
        <v>180</v>
      </c>
      <c r="AI35" s="264">
        <f t="shared" si="32"/>
        <v>180</v>
      </c>
      <c r="AJ35" s="264">
        <f t="shared" si="32"/>
        <v>180</v>
      </c>
      <c r="AK35" s="264">
        <f t="shared" si="32"/>
        <v>180</v>
      </c>
      <c r="AL35" s="264">
        <f t="shared" si="32"/>
        <v>180</v>
      </c>
      <c r="AM35" s="265">
        <f t="shared" ref="AM35:AM56" si="33">SUM(C35:AL35)</f>
        <v>4320</v>
      </c>
      <c r="AN35" s="301">
        <f>SUM(C34:N34)</f>
        <v>0</v>
      </c>
      <c r="AO35" s="301">
        <f t="shared" si="29"/>
        <v>6000</v>
      </c>
      <c r="AP35" s="301">
        <f t="shared" si="30"/>
        <v>6000</v>
      </c>
      <c r="AQ35" s="68">
        <f t="shared" si="23"/>
        <v>0</v>
      </c>
      <c r="AR35" s="68"/>
      <c r="AS35" s="68"/>
      <c r="AT35" s="68"/>
      <c r="AU35" s="68"/>
    </row>
    <row r="36" spans="1:47" s="3" customFormat="1" ht="24" customHeight="1" x14ac:dyDescent="0.5">
      <c r="A36" s="16" t="s">
        <v>29</v>
      </c>
      <c r="B36" s="16"/>
      <c r="C36" s="297">
        <v>50</v>
      </c>
      <c r="D36" s="264">
        <f t="shared" si="31"/>
        <v>50</v>
      </c>
      <c r="E36" s="264">
        <f t="shared" si="31"/>
        <v>50</v>
      </c>
      <c r="F36" s="264">
        <f t="shared" si="31"/>
        <v>50</v>
      </c>
      <c r="G36" s="264">
        <f t="shared" si="31"/>
        <v>50</v>
      </c>
      <c r="H36" s="264">
        <f t="shared" si="31"/>
        <v>50</v>
      </c>
      <c r="I36" s="264">
        <f t="shared" si="31"/>
        <v>50</v>
      </c>
      <c r="J36" s="264">
        <f t="shared" si="31"/>
        <v>50</v>
      </c>
      <c r="K36" s="104">
        <f t="shared" si="31"/>
        <v>50</v>
      </c>
      <c r="L36" s="264">
        <f t="shared" si="31"/>
        <v>50</v>
      </c>
      <c r="M36" s="264">
        <f t="shared" si="31"/>
        <v>50</v>
      </c>
      <c r="N36" s="104">
        <f t="shared" si="31"/>
        <v>50</v>
      </c>
      <c r="O36" s="264">
        <f t="shared" si="31"/>
        <v>50</v>
      </c>
      <c r="P36" s="264">
        <f t="shared" si="31"/>
        <v>50</v>
      </c>
      <c r="Q36" s="104">
        <f t="shared" si="31"/>
        <v>50</v>
      </c>
      <c r="R36" s="264">
        <f t="shared" si="31"/>
        <v>50</v>
      </c>
      <c r="S36" s="264">
        <f t="shared" si="31"/>
        <v>50</v>
      </c>
      <c r="T36" s="264">
        <f t="shared" ref="T36:AL36" si="34">S36</f>
        <v>50</v>
      </c>
      <c r="U36" s="264">
        <f t="shared" si="34"/>
        <v>50</v>
      </c>
      <c r="V36" s="264">
        <f t="shared" si="34"/>
        <v>50</v>
      </c>
      <c r="W36" s="264">
        <f t="shared" si="34"/>
        <v>50</v>
      </c>
      <c r="X36" s="264">
        <f t="shared" si="34"/>
        <v>50</v>
      </c>
      <c r="Y36" s="264">
        <f t="shared" si="34"/>
        <v>50</v>
      </c>
      <c r="Z36" s="264">
        <f t="shared" si="34"/>
        <v>50</v>
      </c>
      <c r="AA36" s="264">
        <f t="shared" si="34"/>
        <v>50</v>
      </c>
      <c r="AB36" s="264">
        <f t="shared" si="34"/>
        <v>50</v>
      </c>
      <c r="AC36" s="264">
        <f t="shared" si="34"/>
        <v>50</v>
      </c>
      <c r="AD36" s="264">
        <f t="shared" si="34"/>
        <v>50</v>
      </c>
      <c r="AE36" s="264">
        <f t="shared" si="34"/>
        <v>50</v>
      </c>
      <c r="AF36" s="264">
        <f t="shared" si="34"/>
        <v>50</v>
      </c>
      <c r="AG36" s="264">
        <f t="shared" si="34"/>
        <v>50</v>
      </c>
      <c r="AH36" s="264">
        <f t="shared" si="34"/>
        <v>50</v>
      </c>
      <c r="AI36" s="264">
        <f t="shared" si="34"/>
        <v>50</v>
      </c>
      <c r="AJ36" s="264">
        <f t="shared" si="34"/>
        <v>50</v>
      </c>
      <c r="AK36" s="264">
        <f t="shared" si="34"/>
        <v>50</v>
      </c>
      <c r="AL36" s="264">
        <f t="shared" si="34"/>
        <v>50</v>
      </c>
      <c r="AM36" s="265">
        <f t="shared" si="33"/>
        <v>1800</v>
      </c>
      <c r="AN36" s="302">
        <f t="shared" si="28"/>
        <v>0</v>
      </c>
      <c r="AO36" s="302">
        <f>SUM(O35:Z35)</f>
        <v>2160</v>
      </c>
      <c r="AP36" s="302">
        <f t="shared" si="30"/>
        <v>2160</v>
      </c>
      <c r="AQ36" s="68">
        <f t="shared" si="23"/>
        <v>0</v>
      </c>
      <c r="AR36" s="68"/>
      <c r="AS36" s="68"/>
      <c r="AT36" s="68"/>
      <c r="AU36" s="68"/>
    </row>
    <row r="37" spans="1:47" s="3" customFormat="1" ht="24" customHeight="1" x14ac:dyDescent="0.5">
      <c r="A37" s="16" t="s">
        <v>30</v>
      </c>
      <c r="B37" s="16"/>
      <c r="C37" s="297">
        <v>75</v>
      </c>
      <c r="D37" s="264">
        <f t="shared" si="31"/>
        <v>75</v>
      </c>
      <c r="E37" s="264">
        <f t="shared" si="31"/>
        <v>75</v>
      </c>
      <c r="F37" s="264">
        <f t="shared" si="31"/>
        <v>75</v>
      </c>
      <c r="G37" s="264">
        <f t="shared" si="31"/>
        <v>75</v>
      </c>
      <c r="H37" s="264">
        <f t="shared" si="31"/>
        <v>75</v>
      </c>
      <c r="I37" s="264">
        <f t="shared" si="31"/>
        <v>75</v>
      </c>
      <c r="J37" s="264">
        <f t="shared" si="31"/>
        <v>75</v>
      </c>
      <c r="K37" s="104">
        <f t="shared" si="31"/>
        <v>75</v>
      </c>
      <c r="L37" s="264">
        <f t="shared" si="31"/>
        <v>75</v>
      </c>
      <c r="M37" s="264">
        <f t="shared" si="31"/>
        <v>75</v>
      </c>
      <c r="N37" s="104">
        <f t="shared" si="31"/>
        <v>75</v>
      </c>
      <c r="O37" s="264">
        <v>100</v>
      </c>
      <c r="P37" s="264">
        <v>100</v>
      </c>
      <c r="Q37" s="104">
        <v>100</v>
      </c>
      <c r="R37" s="264">
        <v>100</v>
      </c>
      <c r="S37" s="264">
        <v>100</v>
      </c>
      <c r="T37" s="264">
        <v>100</v>
      </c>
      <c r="U37" s="264">
        <v>100</v>
      </c>
      <c r="V37" s="264">
        <v>100</v>
      </c>
      <c r="W37" s="264">
        <v>100</v>
      </c>
      <c r="X37" s="264">
        <v>100</v>
      </c>
      <c r="Y37" s="264">
        <v>100</v>
      </c>
      <c r="Z37" s="264">
        <v>100</v>
      </c>
      <c r="AA37" s="264">
        <v>125</v>
      </c>
      <c r="AB37" s="264">
        <v>125</v>
      </c>
      <c r="AC37" s="264">
        <v>125</v>
      </c>
      <c r="AD37" s="264">
        <v>125</v>
      </c>
      <c r="AE37" s="264">
        <v>125</v>
      </c>
      <c r="AF37" s="264">
        <v>125</v>
      </c>
      <c r="AG37" s="264">
        <v>125</v>
      </c>
      <c r="AH37" s="264">
        <v>125</v>
      </c>
      <c r="AI37" s="264">
        <v>125</v>
      </c>
      <c r="AJ37" s="264">
        <v>125</v>
      </c>
      <c r="AK37" s="264">
        <v>125</v>
      </c>
      <c r="AL37" s="264">
        <v>125</v>
      </c>
      <c r="AM37" s="265">
        <f t="shared" si="33"/>
        <v>3600</v>
      </c>
      <c r="AN37" s="303">
        <f t="shared" si="28"/>
        <v>600</v>
      </c>
      <c r="AO37" s="303">
        <f t="shared" si="29"/>
        <v>600</v>
      </c>
      <c r="AP37" s="303">
        <f t="shared" si="30"/>
        <v>600</v>
      </c>
      <c r="AQ37" s="68">
        <f t="shared" si="23"/>
        <v>0</v>
      </c>
      <c r="AR37" s="68"/>
      <c r="AS37" s="68"/>
      <c r="AT37" s="68"/>
      <c r="AU37" s="68"/>
    </row>
    <row r="38" spans="1:47" s="3" customFormat="1" ht="24" customHeight="1" x14ac:dyDescent="0.5">
      <c r="A38" s="16" t="s">
        <v>31</v>
      </c>
      <c r="B38" s="16"/>
      <c r="C38" s="297">
        <v>0</v>
      </c>
      <c r="D38" s="264">
        <f t="shared" si="31"/>
        <v>0</v>
      </c>
      <c r="E38" s="264">
        <f t="shared" si="31"/>
        <v>0</v>
      </c>
      <c r="F38" s="264">
        <f t="shared" si="31"/>
        <v>0</v>
      </c>
      <c r="G38" s="264">
        <f t="shared" si="31"/>
        <v>0</v>
      </c>
      <c r="H38" s="264">
        <f t="shared" si="31"/>
        <v>0</v>
      </c>
      <c r="I38" s="264">
        <f t="shared" si="31"/>
        <v>0</v>
      </c>
      <c r="J38" s="264">
        <f t="shared" si="31"/>
        <v>0</v>
      </c>
      <c r="K38" s="104">
        <f t="shared" si="31"/>
        <v>0</v>
      </c>
      <c r="L38" s="264">
        <f t="shared" si="31"/>
        <v>0</v>
      </c>
      <c r="M38" s="264">
        <f t="shared" si="31"/>
        <v>0</v>
      </c>
      <c r="N38" s="104">
        <f t="shared" si="31"/>
        <v>0</v>
      </c>
      <c r="O38" s="264">
        <v>0</v>
      </c>
      <c r="P38" s="264">
        <v>0</v>
      </c>
      <c r="Q38" s="104">
        <v>0</v>
      </c>
      <c r="R38" s="264">
        <v>0</v>
      </c>
      <c r="S38" s="264">
        <v>0</v>
      </c>
      <c r="T38" s="264">
        <v>0</v>
      </c>
      <c r="U38" s="264">
        <v>0</v>
      </c>
      <c r="V38" s="264">
        <v>0</v>
      </c>
      <c r="W38" s="264">
        <v>0</v>
      </c>
      <c r="X38" s="264">
        <v>0</v>
      </c>
      <c r="Y38" s="264">
        <v>0</v>
      </c>
      <c r="Z38" s="264">
        <v>0</v>
      </c>
      <c r="AA38" s="264">
        <v>0</v>
      </c>
      <c r="AB38" s="264">
        <v>0</v>
      </c>
      <c r="AC38" s="264">
        <v>0</v>
      </c>
      <c r="AD38" s="264">
        <v>0</v>
      </c>
      <c r="AE38" s="264">
        <v>0</v>
      </c>
      <c r="AF38" s="264">
        <v>0</v>
      </c>
      <c r="AG38" s="264">
        <v>0</v>
      </c>
      <c r="AH38" s="264">
        <v>0</v>
      </c>
      <c r="AI38" s="264">
        <v>0</v>
      </c>
      <c r="AJ38" s="264">
        <v>0</v>
      </c>
      <c r="AK38" s="264">
        <v>0</v>
      </c>
      <c r="AL38" s="264">
        <v>0</v>
      </c>
      <c r="AM38" s="265">
        <f t="shared" si="33"/>
        <v>0</v>
      </c>
      <c r="AN38" s="303">
        <f>SUM(C37:N37)</f>
        <v>900</v>
      </c>
      <c r="AO38" s="303">
        <f t="shared" si="29"/>
        <v>1200</v>
      </c>
      <c r="AP38" s="303">
        <f t="shared" si="30"/>
        <v>1500</v>
      </c>
      <c r="AQ38" s="68">
        <f t="shared" si="23"/>
        <v>0</v>
      </c>
      <c r="AR38" s="68"/>
      <c r="AS38" s="68"/>
      <c r="AT38" s="68"/>
      <c r="AU38" s="68"/>
    </row>
    <row r="39" spans="1:47" s="3" customFormat="1" ht="24" customHeight="1" x14ac:dyDescent="0.5">
      <c r="A39" s="16" t="s">
        <v>32</v>
      </c>
      <c r="B39" s="16"/>
      <c r="C39" s="297">
        <f>15*3</f>
        <v>45</v>
      </c>
      <c r="D39" s="264">
        <f t="shared" si="31"/>
        <v>45</v>
      </c>
      <c r="E39" s="264">
        <f t="shared" si="31"/>
        <v>45</v>
      </c>
      <c r="F39" s="264">
        <f t="shared" si="31"/>
        <v>45</v>
      </c>
      <c r="G39" s="264">
        <f t="shared" si="31"/>
        <v>45</v>
      </c>
      <c r="H39" s="264">
        <f t="shared" si="31"/>
        <v>45</v>
      </c>
      <c r="I39" s="264">
        <f t="shared" si="31"/>
        <v>45</v>
      </c>
      <c r="J39" s="264">
        <f t="shared" si="31"/>
        <v>45</v>
      </c>
      <c r="K39" s="104">
        <f t="shared" si="31"/>
        <v>45</v>
      </c>
      <c r="L39" s="264">
        <f t="shared" si="31"/>
        <v>45</v>
      </c>
      <c r="M39" s="264">
        <f t="shared" si="31"/>
        <v>45</v>
      </c>
      <c r="N39" s="104">
        <f t="shared" si="31"/>
        <v>45</v>
      </c>
      <c r="O39" s="264">
        <f t="shared" ref="O39:AL39" si="35">15*3</f>
        <v>45</v>
      </c>
      <c r="P39" s="264">
        <f t="shared" si="35"/>
        <v>45</v>
      </c>
      <c r="Q39" s="104">
        <f t="shared" si="35"/>
        <v>45</v>
      </c>
      <c r="R39" s="264">
        <f t="shared" si="35"/>
        <v>45</v>
      </c>
      <c r="S39" s="264">
        <f t="shared" si="35"/>
        <v>45</v>
      </c>
      <c r="T39" s="264">
        <f t="shared" si="35"/>
        <v>45</v>
      </c>
      <c r="U39" s="264">
        <f t="shared" si="35"/>
        <v>45</v>
      </c>
      <c r="V39" s="264">
        <f t="shared" si="35"/>
        <v>45</v>
      </c>
      <c r="W39" s="264">
        <f t="shared" si="35"/>
        <v>45</v>
      </c>
      <c r="X39" s="264">
        <f t="shared" si="35"/>
        <v>45</v>
      </c>
      <c r="Y39" s="264">
        <f t="shared" si="35"/>
        <v>45</v>
      </c>
      <c r="Z39" s="264">
        <f t="shared" si="35"/>
        <v>45</v>
      </c>
      <c r="AA39" s="264">
        <f t="shared" si="35"/>
        <v>45</v>
      </c>
      <c r="AB39" s="264">
        <f t="shared" si="35"/>
        <v>45</v>
      </c>
      <c r="AC39" s="264">
        <f t="shared" si="35"/>
        <v>45</v>
      </c>
      <c r="AD39" s="264">
        <f t="shared" si="35"/>
        <v>45</v>
      </c>
      <c r="AE39" s="264">
        <f t="shared" si="35"/>
        <v>45</v>
      </c>
      <c r="AF39" s="264">
        <f t="shared" si="35"/>
        <v>45</v>
      </c>
      <c r="AG39" s="264">
        <f t="shared" si="35"/>
        <v>45</v>
      </c>
      <c r="AH39" s="264">
        <f t="shared" si="35"/>
        <v>45</v>
      </c>
      <c r="AI39" s="264">
        <f t="shared" si="35"/>
        <v>45</v>
      </c>
      <c r="AJ39" s="264">
        <f t="shared" si="35"/>
        <v>45</v>
      </c>
      <c r="AK39" s="264">
        <f t="shared" si="35"/>
        <v>45</v>
      </c>
      <c r="AL39" s="264">
        <f t="shared" si="35"/>
        <v>45</v>
      </c>
      <c r="AM39" s="265">
        <f t="shared" si="33"/>
        <v>1620</v>
      </c>
      <c r="AN39" s="304">
        <f t="shared" si="28"/>
        <v>0</v>
      </c>
      <c r="AO39" s="304">
        <f t="shared" si="29"/>
        <v>0</v>
      </c>
      <c r="AP39" s="304">
        <f t="shared" si="30"/>
        <v>0</v>
      </c>
      <c r="AQ39" s="68">
        <f t="shared" si="23"/>
        <v>0</v>
      </c>
      <c r="AR39" s="68"/>
      <c r="AS39" s="68"/>
      <c r="AT39" s="68"/>
      <c r="AU39" s="68"/>
    </row>
    <row r="40" spans="1:47" s="3" customFormat="1" ht="24" customHeight="1" x14ac:dyDescent="0.5">
      <c r="A40" s="16" t="s">
        <v>33</v>
      </c>
      <c r="B40" s="16"/>
      <c r="C40" s="297">
        <v>30</v>
      </c>
      <c r="D40" s="264">
        <f t="shared" si="31"/>
        <v>30</v>
      </c>
      <c r="E40" s="264">
        <f t="shared" si="31"/>
        <v>30</v>
      </c>
      <c r="F40" s="264">
        <f t="shared" si="31"/>
        <v>30</v>
      </c>
      <c r="G40" s="264">
        <f t="shared" si="31"/>
        <v>30</v>
      </c>
      <c r="H40" s="264">
        <f t="shared" si="31"/>
        <v>30</v>
      </c>
      <c r="I40" s="264">
        <f t="shared" si="31"/>
        <v>30</v>
      </c>
      <c r="J40" s="264">
        <f t="shared" si="31"/>
        <v>30</v>
      </c>
      <c r="K40" s="104">
        <f t="shared" si="31"/>
        <v>30</v>
      </c>
      <c r="L40" s="264">
        <f t="shared" si="31"/>
        <v>30</v>
      </c>
      <c r="M40" s="264">
        <f t="shared" si="31"/>
        <v>30</v>
      </c>
      <c r="N40" s="104">
        <f t="shared" si="31"/>
        <v>30</v>
      </c>
      <c r="O40" s="264">
        <f t="shared" si="31"/>
        <v>30</v>
      </c>
      <c r="P40" s="264">
        <f t="shared" si="31"/>
        <v>30</v>
      </c>
      <c r="Q40" s="104">
        <f t="shared" si="31"/>
        <v>30</v>
      </c>
      <c r="R40" s="264">
        <f t="shared" si="31"/>
        <v>30</v>
      </c>
      <c r="S40" s="264">
        <f t="shared" si="31"/>
        <v>30</v>
      </c>
      <c r="T40" s="264">
        <f t="shared" ref="T40:AL40" si="36">S40</f>
        <v>30</v>
      </c>
      <c r="U40" s="264">
        <f t="shared" si="36"/>
        <v>30</v>
      </c>
      <c r="V40" s="264">
        <f t="shared" si="36"/>
        <v>30</v>
      </c>
      <c r="W40" s="264">
        <f t="shared" si="36"/>
        <v>30</v>
      </c>
      <c r="X40" s="264">
        <f t="shared" si="36"/>
        <v>30</v>
      </c>
      <c r="Y40" s="264">
        <f t="shared" si="36"/>
        <v>30</v>
      </c>
      <c r="Z40" s="264">
        <f t="shared" si="36"/>
        <v>30</v>
      </c>
      <c r="AA40" s="264">
        <f t="shared" si="36"/>
        <v>30</v>
      </c>
      <c r="AB40" s="264">
        <f t="shared" si="36"/>
        <v>30</v>
      </c>
      <c r="AC40" s="264">
        <f t="shared" si="36"/>
        <v>30</v>
      </c>
      <c r="AD40" s="264">
        <f t="shared" si="36"/>
        <v>30</v>
      </c>
      <c r="AE40" s="264">
        <f t="shared" si="36"/>
        <v>30</v>
      </c>
      <c r="AF40" s="264">
        <f t="shared" si="36"/>
        <v>30</v>
      </c>
      <c r="AG40" s="264">
        <f t="shared" si="36"/>
        <v>30</v>
      </c>
      <c r="AH40" s="264">
        <f t="shared" si="36"/>
        <v>30</v>
      </c>
      <c r="AI40" s="264">
        <f t="shared" si="36"/>
        <v>30</v>
      </c>
      <c r="AJ40" s="264">
        <f t="shared" si="36"/>
        <v>30</v>
      </c>
      <c r="AK40" s="264">
        <f t="shared" si="36"/>
        <v>30</v>
      </c>
      <c r="AL40" s="264">
        <f t="shared" si="36"/>
        <v>30</v>
      </c>
      <c r="AM40" s="265">
        <f t="shared" si="33"/>
        <v>1080</v>
      </c>
      <c r="AN40" s="304">
        <f t="shared" si="28"/>
        <v>540</v>
      </c>
      <c r="AO40" s="304">
        <f t="shared" si="29"/>
        <v>540</v>
      </c>
      <c r="AP40" s="304">
        <f t="shared" si="30"/>
        <v>540</v>
      </c>
      <c r="AQ40" s="68">
        <f t="shared" si="23"/>
        <v>0</v>
      </c>
      <c r="AR40" s="68"/>
      <c r="AS40" s="68"/>
      <c r="AT40" s="68"/>
      <c r="AU40" s="68"/>
    </row>
    <row r="41" spans="1:47" s="3" customFormat="1" ht="24" customHeight="1" x14ac:dyDescent="0.5">
      <c r="A41" s="16" t="s">
        <v>34</v>
      </c>
      <c r="B41" s="16"/>
      <c r="C41" s="297">
        <v>0</v>
      </c>
      <c r="D41" s="264">
        <f t="shared" si="31"/>
        <v>0</v>
      </c>
      <c r="E41" s="264">
        <f t="shared" si="31"/>
        <v>0</v>
      </c>
      <c r="F41" s="264">
        <f t="shared" si="31"/>
        <v>0</v>
      </c>
      <c r="G41" s="264">
        <f t="shared" si="31"/>
        <v>0</v>
      </c>
      <c r="H41" s="264">
        <f t="shared" si="31"/>
        <v>0</v>
      </c>
      <c r="I41" s="264">
        <f t="shared" si="31"/>
        <v>0</v>
      </c>
      <c r="J41" s="264">
        <f t="shared" si="31"/>
        <v>0</v>
      </c>
      <c r="K41" s="104">
        <f t="shared" si="31"/>
        <v>0</v>
      </c>
      <c r="L41" s="264">
        <f t="shared" si="31"/>
        <v>0</v>
      </c>
      <c r="M41" s="264">
        <f t="shared" si="31"/>
        <v>0</v>
      </c>
      <c r="N41" s="104">
        <f t="shared" si="31"/>
        <v>0</v>
      </c>
      <c r="O41" s="264">
        <v>0</v>
      </c>
      <c r="P41" s="264">
        <v>0</v>
      </c>
      <c r="Q41" s="104">
        <v>0</v>
      </c>
      <c r="R41" s="264">
        <v>0</v>
      </c>
      <c r="S41" s="264">
        <v>0</v>
      </c>
      <c r="T41" s="264">
        <v>0</v>
      </c>
      <c r="U41" s="264">
        <v>0</v>
      </c>
      <c r="V41" s="264">
        <v>0</v>
      </c>
      <c r="W41" s="264">
        <v>0</v>
      </c>
      <c r="X41" s="264">
        <v>0</v>
      </c>
      <c r="Y41" s="264">
        <v>0</v>
      </c>
      <c r="Z41" s="264">
        <v>0</v>
      </c>
      <c r="AA41" s="264">
        <v>0</v>
      </c>
      <c r="AB41" s="264">
        <v>0</v>
      </c>
      <c r="AC41" s="264">
        <v>0</v>
      </c>
      <c r="AD41" s="264">
        <v>0</v>
      </c>
      <c r="AE41" s="264">
        <v>0</v>
      </c>
      <c r="AF41" s="264">
        <v>0</v>
      </c>
      <c r="AG41" s="264">
        <v>0</v>
      </c>
      <c r="AH41" s="264">
        <v>0</v>
      </c>
      <c r="AI41" s="264">
        <v>0</v>
      </c>
      <c r="AJ41" s="264">
        <v>0</v>
      </c>
      <c r="AK41" s="264">
        <v>0</v>
      </c>
      <c r="AL41" s="264">
        <v>0</v>
      </c>
      <c r="AM41" s="265">
        <f t="shared" si="33"/>
        <v>0</v>
      </c>
      <c r="AN41" s="304">
        <f t="shared" si="28"/>
        <v>360</v>
      </c>
      <c r="AO41" s="304">
        <f t="shared" si="29"/>
        <v>360</v>
      </c>
      <c r="AP41" s="304">
        <f t="shared" si="30"/>
        <v>360</v>
      </c>
      <c r="AQ41" s="68">
        <f t="shared" si="23"/>
        <v>0</v>
      </c>
      <c r="AR41" s="68"/>
      <c r="AS41" s="68"/>
      <c r="AT41" s="68"/>
      <c r="AU41" s="68"/>
    </row>
    <row r="42" spans="1:47" s="3" customFormat="1" ht="24" customHeight="1" x14ac:dyDescent="0.5">
      <c r="A42" s="16" t="s">
        <v>35</v>
      </c>
      <c r="B42" s="16"/>
      <c r="C42" s="297">
        <f>2000/12</f>
        <v>166.66666666666666</v>
      </c>
      <c r="D42" s="264">
        <f t="shared" si="31"/>
        <v>166.66666666666666</v>
      </c>
      <c r="E42" s="264">
        <f t="shared" si="31"/>
        <v>166.66666666666666</v>
      </c>
      <c r="F42" s="264">
        <f t="shared" si="31"/>
        <v>166.66666666666666</v>
      </c>
      <c r="G42" s="264">
        <f t="shared" si="31"/>
        <v>166.66666666666666</v>
      </c>
      <c r="H42" s="264">
        <f t="shared" si="31"/>
        <v>166.66666666666666</v>
      </c>
      <c r="I42" s="264">
        <f t="shared" si="31"/>
        <v>166.66666666666666</v>
      </c>
      <c r="J42" s="264">
        <f t="shared" si="31"/>
        <v>166.66666666666666</v>
      </c>
      <c r="K42" s="104">
        <f t="shared" si="31"/>
        <v>166.66666666666666</v>
      </c>
      <c r="L42" s="264">
        <f t="shared" si="31"/>
        <v>166.66666666666666</v>
      </c>
      <c r="M42" s="264">
        <f t="shared" si="31"/>
        <v>166.66666666666666</v>
      </c>
      <c r="N42" s="104">
        <f t="shared" si="31"/>
        <v>166.66666666666666</v>
      </c>
      <c r="O42" s="264">
        <f t="shared" ref="O42:AL42" si="37">2000/12</f>
        <v>166.66666666666666</v>
      </c>
      <c r="P42" s="264">
        <f t="shared" si="37"/>
        <v>166.66666666666666</v>
      </c>
      <c r="Q42" s="104">
        <f t="shared" si="37"/>
        <v>166.66666666666666</v>
      </c>
      <c r="R42" s="264">
        <f t="shared" si="37"/>
        <v>166.66666666666666</v>
      </c>
      <c r="S42" s="264">
        <f t="shared" si="37"/>
        <v>166.66666666666666</v>
      </c>
      <c r="T42" s="264">
        <f t="shared" si="37"/>
        <v>166.66666666666666</v>
      </c>
      <c r="U42" s="264">
        <f t="shared" si="37"/>
        <v>166.66666666666666</v>
      </c>
      <c r="V42" s="264">
        <f t="shared" si="37"/>
        <v>166.66666666666666</v>
      </c>
      <c r="W42" s="264">
        <f t="shared" si="37"/>
        <v>166.66666666666666</v>
      </c>
      <c r="X42" s="264">
        <f t="shared" si="37"/>
        <v>166.66666666666666</v>
      </c>
      <c r="Y42" s="264">
        <f t="shared" si="37"/>
        <v>166.66666666666666</v>
      </c>
      <c r="Z42" s="264">
        <f t="shared" si="37"/>
        <v>166.66666666666666</v>
      </c>
      <c r="AA42" s="264">
        <f t="shared" si="37"/>
        <v>166.66666666666666</v>
      </c>
      <c r="AB42" s="264">
        <f t="shared" si="37"/>
        <v>166.66666666666666</v>
      </c>
      <c r="AC42" s="264">
        <f t="shared" si="37"/>
        <v>166.66666666666666</v>
      </c>
      <c r="AD42" s="264">
        <f t="shared" si="37"/>
        <v>166.66666666666666</v>
      </c>
      <c r="AE42" s="264">
        <f t="shared" si="37"/>
        <v>166.66666666666666</v>
      </c>
      <c r="AF42" s="264">
        <f t="shared" si="37"/>
        <v>166.66666666666666</v>
      </c>
      <c r="AG42" s="264">
        <f t="shared" si="37"/>
        <v>166.66666666666666</v>
      </c>
      <c r="AH42" s="264">
        <f t="shared" si="37"/>
        <v>166.66666666666666</v>
      </c>
      <c r="AI42" s="264">
        <f t="shared" si="37"/>
        <v>166.66666666666666</v>
      </c>
      <c r="AJ42" s="264">
        <f t="shared" si="37"/>
        <v>166.66666666666666</v>
      </c>
      <c r="AK42" s="264">
        <f t="shared" si="37"/>
        <v>166.66666666666666</v>
      </c>
      <c r="AL42" s="264">
        <f t="shared" si="37"/>
        <v>166.66666666666666</v>
      </c>
      <c r="AM42" s="265">
        <f t="shared" si="33"/>
        <v>6000.0000000000018</v>
      </c>
      <c r="AN42" s="304">
        <f t="shared" si="28"/>
        <v>0</v>
      </c>
      <c r="AO42" s="304">
        <f t="shared" si="29"/>
        <v>0</v>
      </c>
      <c r="AP42" s="304">
        <f t="shared" si="30"/>
        <v>0</v>
      </c>
      <c r="AQ42" s="68">
        <f t="shared" si="23"/>
        <v>0</v>
      </c>
      <c r="AR42" s="68"/>
      <c r="AS42" s="68"/>
      <c r="AT42" s="68"/>
      <c r="AU42" s="68"/>
    </row>
    <row r="43" spans="1:47" s="3" customFormat="1" ht="24" customHeight="1" x14ac:dyDescent="0.5">
      <c r="A43" s="16" t="s">
        <v>36</v>
      </c>
      <c r="B43" s="16"/>
      <c r="C43" s="297">
        <f>(C28*(15/12)/26)</f>
        <v>168.26923076923077</v>
      </c>
      <c r="D43" s="264">
        <f t="shared" si="31"/>
        <v>168.26923076923077</v>
      </c>
      <c r="E43" s="264">
        <f t="shared" si="31"/>
        <v>168.26923076923077</v>
      </c>
      <c r="F43" s="264">
        <f t="shared" si="31"/>
        <v>168.26923076923077</v>
      </c>
      <c r="G43" s="264">
        <f t="shared" si="31"/>
        <v>168.26923076923077</v>
      </c>
      <c r="H43" s="264">
        <f t="shared" si="31"/>
        <v>168.26923076923077</v>
      </c>
      <c r="I43" s="264">
        <f t="shared" si="31"/>
        <v>168.26923076923077</v>
      </c>
      <c r="J43" s="264">
        <f t="shared" si="31"/>
        <v>168.26923076923077</v>
      </c>
      <c r="K43" s="104">
        <f t="shared" si="31"/>
        <v>168.26923076923077</v>
      </c>
      <c r="L43" s="264">
        <f t="shared" si="31"/>
        <v>168.26923076923077</v>
      </c>
      <c r="M43" s="264">
        <f t="shared" si="31"/>
        <v>168.26923076923077</v>
      </c>
      <c r="N43" s="104">
        <f t="shared" si="31"/>
        <v>168.26923076923077</v>
      </c>
      <c r="O43" s="264">
        <f t="shared" ref="O43:AK43" si="38">(O28*(15/12)/26)</f>
        <v>432.69230769230768</v>
      </c>
      <c r="P43" s="264">
        <f t="shared" si="38"/>
        <v>432.69230769230768</v>
      </c>
      <c r="Q43" s="104">
        <f t="shared" si="38"/>
        <v>432.69230769230768</v>
      </c>
      <c r="R43" s="264">
        <f t="shared" si="38"/>
        <v>432.69230769230768</v>
      </c>
      <c r="S43" s="264">
        <f t="shared" si="38"/>
        <v>432.69230769230768</v>
      </c>
      <c r="T43" s="264">
        <f t="shared" si="38"/>
        <v>432.69230769230768</v>
      </c>
      <c r="U43" s="264">
        <f t="shared" si="38"/>
        <v>432.69230769230768</v>
      </c>
      <c r="V43" s="264">
        <f t="shared" si="38"/>
        <v>432.69230769230768</v>
      </c>
      <c r="W43" s="264">
        <f t="shared" si="38"/>
        <v>432.69230769230768</v>
      </c>
      <c r="X43" s="264">
        <f t="shared" si="38"/>
        <v>432.69230769230768</v>
      </c>
      <c r="Y43" s="264">
        <f t="shared" si="38"/>
        <v>432.69230769230768</v>
      </c>
      <c r="Z43" s="264">
        <f t="shared" si="38"/>
        <v>432.69230769230768</v>
      </c>
      <c r="AA43" s="264">
        <f>(AA28*(15/12)/26)</f>
        <v>576.92307692307691</v>
      </c>
      <c r="AB43" s="264">
        <f t="shared" si="38"/>
        <v>576.92307692307691</v>
      </c>
      <c r="AC43" s="264">
        <f t="shared" si="38"/>
        <v>576.92307692307691</v>
      </c>
      <c r="AD43" s="264">
        <f t="shared" si="38"/>
        <v>576.92307692307691</v>
      </c>
      <c r="AE43" s="264">
        <f t="shared" si="38"/>
        <v>576.92307692307691</v>
      </c>
      <c r="AF43" s="264">
        <f t="shared" si="38"/>
        <v>576.92307692307691</v>
      </c>
      <c r="AG43" s="264">
        <f t="shared" si="38"/>
        <v>576.92307692307691</v>
      </c>
      <c r="AH43" s="264">
        <f t="shared" si="38"/>
        <v>576.92307692307691</v>
      </c>
      <c r="AI43" s="264">
        <f t="shared" si="38"/>
        <v>576.92307692307691</v>
      </c>
      <c r="AJ43" s="264">
        <f t="shared" si="38"/>
        <v>576.92307692307691</v>
      </c>
      <c r="AK43" s="264">
        <f t="shared" si="38"/>
        <v>576.92307692307691</v>
      </c>
      <c r="AL43" s="264">
        <f>(AL28*(15/12)/26)</f>
        <v>576.92307692307691</v>
      </c>
      <c r="AM43" s="265">
        <f t="shared" si="33"/>
        <v>14134.615384615377</v>
      </c>
      <c r="AN43" s="303">
        <f t="shared" si="28"/>
        <v>2000.0000000000002</v>
      </c>
      <c r="AO43" s="303">
        <f t="shared" si="29"/>
        <v>2000.0000000000002</v>
      </c>
      <c r="AP43" s="303">
        <f t="shared" si="30"/>
        <v>2000.0000000000002</v>
      </c>
      <c r="AQ43" s="68">
        <f t="shared" si="23"/>
        <v>0</v>
      </c>
      <c r="AR43" s="68"/>
      <c r="AS43" s="68"/>
      <c r="AT43" s="68"/>
      <c r="AU43" s="68"/>
    </row>
    <row r="44" spans="1:47" s="3" customFormat="1" ht="24" customHeight="1" x14ac:dyDescent="0.5">
      <c r="A44" s="16" t="s">
        <v>37</v>
      </c>
      <c r="B44" s="16"/>
      <c r="C44" s="297">
        <f>(C28*(30/12)/26)</f>
        <v>336.53846153846155</v>
      </c>
      <c r="D44" s="264">
        <f t="shared" si="31"/>
        <v>336.53846153846155</v>
      </c>
      <c r="E44" s="264">
        <f t="shared" si="31"/>
        <v>336.53846153846155</v>
      </c>
      <c r="F44" s="264">
        <f t="shared" si="31"/>
        <v>336.53846153846155</v>
      </c>
      <c r="G44" s="264">
        <f t="shared" si="31"/>
        <v>336.53846153846155</v>
      </c>
      <c r="H44" s="264">
        <f t="shared" si="31"/>
        <v>336.53846153846155</v>
      </c>
      <c r="I44" s="264">
        <f t="shared" si="31"/>
        <v>336.53846153846155</v>
      </c>
      <c r="J44" s="264">
        <f t="shared" si="31"/>
        <v>336.53846153846155</v>
      </c>
      <c r="K44" s="104">
        <f t="shared" si="31"/>
        <v>336.53846153846155</v>
      </c>
      <c r="L44" s="264">
        <f t="shared" si="31"/>
        <v>336.53846153846155</v>
      </c>
      <c r="M44" s="264">
        <f t="shared" si="31"/>
        <v>336.53846153846155</v>
      </c>
      <c r="N44" s="104">
        <f t="shared" si="31"/>
        <v>336.53846153846155</v>
      </c>
      <c r="O44" s="264">
        <f t="shared" ref="O44:AL44" si="39">(O28*(30/12)/26)</f>
        <v>865.38461538461536</v>
      </c>
      <c r="P44" s="264">
        <f t="shared" si="39"/>
        <v>865.38461538461536</v>
      </c>
      <c r="Q44" s="104">
        <f t="shared" si="39"/>
        <v>865.38461538461536</v>
      </c>
      <c r="R44" s="264">
        <f t="shared" si="39"/>
        <v>865.38461538461536</v>
      </c>
      <c r="S44" s="264">
        <f t="shared" si="39"/>
        <v>865.38461538461536</v>
      </c>
      <c r="T44" s="264">
        <f t="shared" si="39"/>
        <v>865.38461538461536</v>
      </c>
      <c r="U44" s="264">
        <f t="shared" si="39"/>
        <v>865.38461538461536</v>
      </c>
      <c r="V44" s="264">
        <f t="shared" si="39"/>
        <v>865.38461538461536</v>
      </c>
      <c r="W44" s="264">
        <f t="shared" si="39"/>
        <v>865.38461538461536</v>
      </c>
      <c r="X44" s="264">
        <f t="shared" si="39"/>
        <v>865.38461538461536</v>
      </c>
      <c r="Y44" s="264">
        <f t="shared" si="39"/>
        <v>865.38461538461536</v>
      </c>
      <c r="Z44" s="264">
        <f t="shared" si="39"/>
        <v>865.38461538461536</v>
      </c>
      <c r="AA44" s="264">
        <f t="shared" si="39"/>
        <v>1153.8461538461538</v>
      </c>
      <c r="AB44" s="264">
        <f t="shared" si="39"/>
        <v>1153.8461538461538</v>
      </c>
      <c r="AC44" s="264">
        <f t="shared" si="39"/>
        <v>1153.8461538461538</v>
      </c>
      <c r="AD44" s="264">
        <f t="shared" si="39"/>
        <v>1153.8461538461538</v>
      </c>
      <c r="AE44" s="264">
        <f t="shared" si="39"/>
        <v>1153.8461538461538</v>
      </c>
      <c r="AF44" s="264">
        <f t="shared" si="39"/>
        <v>1153.8461538461538</v>
      </c>
      <c r="AG44" s="264">
        <f t="shared" si="39"/>
        <v>1153.8461538461538</v>
      </c>
      <c r="AH44" s="264">
        <f t="shared" si="39"/>
        <v>1153.8461538461538</v>
      </c>
      <c r="AI44" s="264">
        <f t="shared" si="39"/>
        <v>1153.8461538461538</v>
      </c>
      <c r="AJ44" s="264">
        <f t="shared" si="39"/>
        <v>1153.8461538461538</v>
      </c>
      <c r="AK44" s="264">
        <f t="shared" si="39"/>
        <v>1153.8461538461538</v>
      </c>
      <c r="AL44" s="264">
        <f t="shared" si="39"/>
        <v>1153.8461538461538</v>
      </c>
      <c r="AM44" s="265">
        <f t="shared" si="33"/>
        <v>28269.230769230755</v>
      </c>
      <c r="AN44" s="305">
        <f>SUM(C43:N43)</f>
        <v>2019.2307692307688</v>
      </c>
      <c r="AO44" s="305">
        <f t="shared" si="29"/>
        <v>5192.3076923076924</v>
      </c>
      <c r="AP44" s="305">
        <f t="shared" si="30"/>
        <v>6923.0769230769247</v>
      </c>
      <c r="AQ44" s="68">
        <f t="shared" si="23"/>
        <v>0</v>
      </c>
      <c r="AR44" s="68"/>
      <c r="AS44" s="68"/>
      <c r="AT44" s="68"/>
      <c r="AU44" s="68"/>
    </row>
    <row r="45" spans="1:47" s="3" customFormat="1" ht="24" customHeight="1" x14ac:dyDescent="0.5">
      <c r="A45" s="16" t="s">
        <v>38</v>
      </c>
      <c r="B45" s="16"/>
      <c r="C45" s="297">
        <f>120+6.507</f>
        <v>126.50700000000001</v>
      </c>
      <c r="D45" s="264">
        <f t="shared" si="31"/>
        <v>126.50700000000001</v>
      </c>
      <c r="E45" s="264">
        <f t="shared" si="31"/>
        <v>126.50700000000001</v>
      </c>
      <c r="F45" s="264">
        <f t="shared" si="31"/>
        <v>126.50700000000001</v>
      </c>
      <c r="G45" s="264">
        <f t="shared" si="31"/>
        <v>126.50700000000001</v>
      </c>
      <c r="H45" s="264">
        <f t="shared" si="31"/>
        <v>126.50700000000001</v>
      </c>
      <c r="I45" s="264">
        <f t="shared" si="31"/>
        <v>126.50700000000001</v>
      </c>
      <c r="J45" s="264">
        <f t="shared" si="31"/>
        <v>126.50700000000001</v>
      </c>
      <c r="K45" s="104">
        <f t="shared" si="31"/>
        <v>126.50700000000001</v>
      </c>
      <c r="L45" s="264">
        <f t="shared" si="31"/>
        <v>126.50700000000001</v>
      </c>
      <c r="M45" s="264">
        <f t="shared" si="31"/>
        <v>126.50700000000001</v>
      </c>
      <c r="N45" s="104">
        <f t="shared" si="31"/>
        <v>126.50700000000001</v>
      </c>
      <c r="O45" s="264">
        <v>120</v>
      </c>
      <c r="P45" s="264">
        <v>120</v>
      </c>
      <c r="Q45" s="104">
        <v>120</v>
      </c>
      <c r="R45" s="264">
        <v>120</v>
      </c>
      <c r="S45" s="264">
        <v>120</v>
      </c>
      <c r="T45" s="264">
        <v>120</v>
      </c>
      <c r="U45" s="264">
        <v>120</v>
      </c>
      <c r="V45" s="264">
        <v>120</v>
      </c>
      <c r="W45" s="264">
        <v>120</v>
      </c>
      <c r="X45" s="264">
        <v>120</v>
      </c>
      <c r="Y45" s="264">
        <v>120</v>
      </c>
      <c r="Z45" s="264">
        <v>120</v>
      </c>
      <c r="AA45" s="264">
        <v>120</v>
      </c>
      <c r="AB45" s="264">
        <v>120</v>
      </c>
      <c r="AC45" s="264">
        <v>120</v>
      </c>
      <c r="AD45" s="264">
        <v>120</v>
      </c>
      <c r="AE45" s="264">
        <v>120</v>
      </c>
      <c r="AF45" s="264">
        <v>120</v>
      </c>
      <c r="AG45" s="264">
        <v>120</v>
      </c>
      <c r="AH45" s="264">
        <v>120</v>
      </c>
      <c r="AI45" s="264">
        <v>120</v>
      </c>
      <c r="AJ45" s="264">
        <v>120</v>
      </c>
      <c r="AK45" s="264">
        <v>120</v>
      </c>
      <c r="AL45" s="264">
        <v>120</v>
      </c>
      <c r="AM45" s="265">
        <f t="shared" si="33"/>
        <v>4398.0840000000007</v>
      </c>
      <c r="AN45" s="295">
        <f t="shared" si="28"/>
        <v>4038.4615384615377</v>
      </c>
      <c r="AO45" s="295">
        <f t="shared" si="29"/>
        <v>10384.615384615385</v>
      </c>
      <c r="AP45" s="295">
        <f t="shared" si="30"/>
        <v>13846.153846153849</v>
      </c>
      <c r="AQ45" s="68">
        <f t="shared" si="23"/>
        <v>0</v>
      </c>
      <c r="AR45" s="68"/>
      <c r="AS45" s="68"/>
      <c r="AT45" s="68"/>
      <c r="AU45" s="68"/>
    </row>
    <row r="46" spans="1:47" s="3" customFormat="1" ht="24" customHeight="1" x14ac:dyDescent="0.5">
      <c r="A46" s="16" t="s">
        <v>39</v>
      </c>
      <c r="B46" s="16"/>
      <c r="C46" s="297">
        <v>0</v>
      </c>
      <c r="D46" s="264">
        <f t="shared" si="31"/>
        <v>0</v>
      </c>
      <c r="E46" s="264">
        <f t="shared" si="31"/>
        <v>0</v>
      </c>
      <c r="F46" s="264">
        <f t="shared" si="31"/>
        <v>0</v>
      </c>
      <c r="G46" s="264">
        <f t="shared" si="31"/>
        <v>0</v>
      </c>
      <c r="H46" s="264">
        <f t="shared" si="31"/>
        <v>0</v>
      </c>
      <c r="I46" s="264">
        <f t="shared" si="31"/>
        <v>0</v>
      </c>
      <c r="J46" s="264">
        <f t="shared" si="31"/>
        <v>0</v>
      </c>
      <c r="K46" s="104">
        <f t="shared" si="31"/>
        <v>0</v>
      </c>
      <c r="L46" s="264">
        <f t="shared" si="31"/>
        <v>0</v>
      </c>
      <c r="M46" s="264">
        <f t="shared" si="31"/>
        <v>0</v>
      </c>
      <c r="N46" s="104">
        <f t="shared" si="31"/>
        <v>0</v>
      </c>
      <c r="O46" s="264">
        <v>1000</v>
      </c>
      <c r="P46" s="264">
        <v>0</v>
      </c>
      <c r="Q46" s="104">
        <v>0</v>
      </c>
      <c r="R46" s="264">
        <v>0</v>
      </c>
      <c r="S46" s="264">
        <v>0</v>
      </c>
      <c r="T46" s="264">
        <v>0</v>
      </c>
      <c r="U46" s="264">
        <v>0</v>
      </c>
      <c r="V46" s="264">
        <v>0</v>
      </c>
      <c r="W46" s="264">
        <v>1000</v>
      </c>
      <c r="X46" s="264">
        <v>0</v>
      </c>
      <c r="Y46" s="264">
        <v>0</v>
      </c>
      <c r="Z46" s="264">
        <v>0</v>
      </c>
      <c r="AA46" s="264">
        <v>1000</v>
      </c>
      <c r="AB46" s="264">
        <v>0</v>
      </c>
      <c r="AC46" s="264">
        <v>0</v>
      </c>
      <c r="AD46" s="264">
        <v>0</v>
      </c>
      <c r="AE46" s="264">
        <v>0</v>
      </c>
      <c r="AF46" s="264">
        <v>0</v>
      </c>
      <c r="AG46" s="264">
        <v>0</v>
      </c>
      <c r="AH46" s="264">
        <v>0</v>
      </c>
      <c r="AI46" s="264">
        <v>1000</v>
      </c>
      <c r="AJ46" s="264">
        <v>0</v>
      </c>
      <c r="AK46" s="264">
        <v>0</v>
      </c>
      <c r="AL46" s="264">
        <v>0</v>
      </c>
      <c r="AM46" s="265">
        <f t="shared" si="33"/>
        <v>4000</v>
      </c>
      <c r="AN46" s="303">
        <f t="shared" si="28"/>
        <v>1518.0840000000005</v>
      </c>
      <c r="AO46" s="303">
        <f t="shared" si="29"/>
        <v>1440</v>
      </c>
      <c r="AP46" s="303">
        <f t="shared" si="30"/>
        <v>1440</v>
      </c>
      <c r="AQ46" s="68">
        <f t="shared" si="23"/>
        <v>0</v>
      </c>
      <c r="AR46" s="68"/>
      <c r="AS46" s="68"/>
      <c r="AT46" s="68"/>
      <c r="AU46" s="68"/>
    </row>
    <row r="47" spans="1:47" s="3" customFormat="1" ht="24" customHeight="1" x14ac:dyDescent="0.5">
      <c r="A47" s="16" t="s">
        <v>40</v>
      </c>
      <c r="B47" s="16"/>
      <c r="C47" s="297">
        <v>25</v>
      </c>
      <c r="D47" s="264">
        <f t="shared" si="31"/>
        <v>25</v>
      </c>
      <c r="E47" s="264">
        <f t="shared" si="31"/>
        <v>25</v>
      </c>
      <c r="F47" s="264">
        <f t="shared" si="31"/>
        <v>25</v>
      </c>
      <c r="G47" s="264">
        <f t="shared" si="31"/>
        <v>25</v>
      </c>
      <c r="H47" s="264">
        <f t="shared" si="31"/>
        <v>25</v>
      </c>
      <c r="I47" s="264">
        <f t="shared" si="31"/>
        <v>25</v>
      </c>
      <c r="J47" s="264">
        <f t="shared" si="31"/>
        <v>25</v>
      </c>
      <c r="K47" s="104">
        <f t="shared" si="31"/>
        <v>25</v>
      </c>
      <c r="L47" s="264">
        <f t="shared" si="31"/>
        <v>25</v>
      </c>
      <c r="M47" s="264">
        <f t="shared" si="31"/>
        <v>25</v>
      </c>
      <c r="N47" s="104">
        <f t="shared" si="31"/>
        <v>25</v>
      </c>
      <c r="O47" s="264">
        <v>25</v>
      </c>
      <c r="P47" s="264">
        <v>25</v>
      </c>
      <c r="Q47" s="104">
        <v>25</v>
      </c>
      <c r="R47" s="264">
        <v>25</v>
      </c>
      <c r="S47" s="264">
        <v>25</v>
      </c>
      <c r="T47" s="264">
        <v>25</v>
      </c>
      <c r="U47" s="264">
        <v>25</v>
      </c>
      <c r="V47" s="264">
        <v>25</v>
      </c>
      <c r="W47" s="264">
        <v>25</v>
      </c>
      <c r="X47" s="264">
        <v>25</v>
      </c>
      <c r="Y47" s="264">
        <v>25</v>
      </c>
      <c r="Z47" s="264">
        <v>25</v>
      </c>
      <c r="AA47" s="264">
        <v>25</v>
      </c>
      <c r="AB47" s="264">
        <v>25</v>
      </c>
      <c r="AC47" s="264">
        <v>25</v>
      </c>
      <c r="AD47" s="264">
        <v>25</v>
      </c>
      <c r="AE47" s="264">
        <v>25</v>
      </c>
      <c r="AF47" s="264">
        <v>25</v>
      </c>
      <c r="AG47" s="264">
        <v>25</v>
      </c>
      <c r="AH47" s="264">
        <v>25</v>
      </c>
      <c r="AI47" s="264">
        <v>25</v>
      </c>
      <c r="AJ47" s="264">
        <v>25</v>
      </c>
      <c r="AK47" s="264">
        <v>25</v>
      </c>
      <c r="AL47" s="264">
        <v>25</v>
      </c>
      <c r="AM47" s="265">
        <f t="shared" si="33"/>
        <v>900</v>
      </c>
      <c r="AN47" s="303">
        <f t="shared" si="28"/>
        <v>0</v>
      </c>
      <c r="AO47" s="303">
        <f t="shared" si="29"/>
        <v>2000</v>
      </c>
      <c r="AP47" s="303">
        <f t="shared" si="30"/>
        <v>2000</v>
      </c>
      <c r="AQ47" s="68">
        <f t="shared" si="23"/>
        <v>0</v>
      </c>
      <c r="AR47" s="68"/>
      <c r="AS47" s="68"/>
      <c r="AT47" s="68"/>
      <c r="AU47" s="68"/>
    </row>
    <row r="48" spans="1:47" s="3" customFormat="1" ht="24" customHeight="1" x14ac:dyDescent="0.5">
      <c r="A48" s="16" t="s">
        <v>41</v>
      </c>
      <c r="B48" s="16"/>
      <c r="C48" s="297">
        <v>0</v>
      </c>
      <c r="D48" s="264">
        <f t="shared" si="31"/>
        <v>0</v>
      </c>
      <c r="E48" s="264">
        <f t="shared" si="31"/>
        <v>0</v>
      </c>
      <c r="F48" s="264">
        <f t="shared" si="31"/>
        <v>0</v>
      </c>
      <c r="G48" s="264">
        <f t="shared" si="31"/>
        <v>0</v>
      </c>
      <c r="H48" s="264">
        <f t="shared" si="31"/>
        <v>0</v>
      </c>
      <c r="I48" s="264">
        <f t="shared" si="31"/>
        <v>0</v>
      </c>
      <c r="J48" s="264">
        <f t="shared" si="31"/>
        <v>0</v>
      </c>
      <c r="K48" s="104">
        <f t="shared" si="31"/>
        <v>0</v>
      </c>
      <c r="L48" s="264">
        <f t="shared" si="31"/>
        <v>0</v>
      </c>
      <c r="M48" s="264">
        <f t="shared" si="31"/>
        <v>0</v>
      </c>
      <c r="N48" s="104">
        <f t="shared" si="31"/>
        <v>0</v>
      </c>
      <c r="O48" s="264">
        <v>0</v>
      </c>
      <c r="P48" s="264">
        <v>0</v>
      </c>
      <c r="Q48" s="104">
        <v>0</v>
      </c>
      <c r="R48" s="264">
        <v>0</v>
      </c>
      <c r="S48" s="264">
        <v>0</v>
      </c>
      <c r="T48" s="264">
        <v>0</v>
      </c>
      <c r="U48" s="264">
        <v>0</v>
      </c>
      <c r="V48" s="264">
        <v>0</v>
      </c>
      <c r="W48" s="264">
        <v>0</v>
      </c>
      <c r="X48" s="264">
        <v>0</v>
      </c>
      <c r="Y48" s="264">
        <v>0</v>
      </c>
      <c r="Z48" s="264">
        <v>0</v>
      </c>
      <c r="AA48" s="264">
        <v>0</v>
      </c>
      <c r="AB48" s="264">
        <v>0</v>
      </c>
      <c r="AC48" s="264">
        <v>0</v>
      </c>
      <c r="AD48" s="264">
        <v>0</v>
      </c>
      <c r="AE48" s="264">
        <v>0</v>
      </c>
      <c r="AF48" s="264">
        <v>0</v>
      </c>
      <c r="AG48" s="264">
        <v>0</v>
      </c>
      <c r="AH48" s="264">
        <v>0</v>
      </c>
      <c r="AI48" s="264">
        <v>0</v>
      </c>
      <c r="AJ48" s="264">
        <v>0</v>
      </c>
      <c r="AK48" s="264">
        <v>0</v>
      </c>
      <c r="AL48" s="264">
        <v>0</v>
      </c>
      <c r="AM48" s="265">
        <f t="shared" si="33"/>
        <v>0</v>
      </c>
      <c r="AN48" s="304">
        <f t="shared" si="28"/>
        <v>300</v>
      </c>
      <c r="AO48" s="304">
        <f t="shared" si="29"/>
        <v>300</v>
      </c>
      <c r="AP48" s="304">
        <f t="shared" si="30"/>
        <v>300</v>
      </c>
      <c r="AQ48" s="68">
        <f t="shared" si="23"/>
        <v>0</v>
      </c>
      <c r="AR48" s="68"/>
      <c r="AS48" s="68"/>
      <c r="AT48" s="68"/>
      <c r="AU48" s="68"/>
    </row>
    <row r="49" spans="1:47" s="3" customFormat="1" ht="24" customHeight="1" x14ac:dyDescent="0.5">
      <c r="A49" s="16" t="s">
        <v>42</v>
      </c>
      <c r="B49" s="16"/>
      <c r="C49" s="297">
        <f>(4*(50+50+10+10))/12</f>
        <v>40</v>
      </c>
      <c r="D49" s="264">
        <f t="shared" si="31"/>
        <v>40</v>
      </c>
      <c r="E49" s="264">
        <f t="shared" si="31"/>
        <v>40</v>
      </c>
      <c r="F49" s="264">
        <f t="shared" si="31"/>
        <v>40</v>
      </c>
      <c r="G49" s="264">
        <f t="shared" si="31"/>
        <v>40</v>
      </c>
      <c r="H49" s="264">
        <f t="shared" si="31"/>
        <v>40</v>
      </c>
      <c r="I49" s="264">
        <f t="shared" si="31"/>
        <v>40</v>
      </c>
      <c r="J49" s="264">
        <f t="shared" si="31"/>
        <v>40</v>
      </c>
      <c r="K49" s="104">
        <f t="shared" si="31"/>
        <v>40</v>
      </c>
      <c r="L49" s="264">
        <f t="shared" si="31"/>
        <v>40</v>
      </c>
      <c r="M49" s="264">
        <f t="shared" si="31"/>
        <v>40</v>
      </c>
      <c r="N49" s="104">
        <f t="shared" si="31"/>
        <v>40</v>
      </c>
      <c r="O49" s="264">
        <f t="shared" ref="O49:AL49" si="40">(4*(50+50+10+10))/12</f>
        <v>40</v>
      </c>
      <c r="P49" s="264">
        <f t="shared" si="40"/>
        <v>40</v>
      </c>
      <c r="Q49" s="104">
        <f t="shared" si="40"/>
        <v>40</v>
      </c>
      <c r="R49" s="264">
        <f t="shared" si="40"/>
        <v>40</v>
      </c>
      <c r="S49" s="264">
        <f t="shared" si="40"/>
        <v>40</v>
      </c>
      <c r="T49" s="264">
        <f t="shared" si="40"/>
        <v>40</v>
      </c>
      <c r="U49" s="264">
        <f t="shared" si="40"/>
        <v>40</v>
      </c>
      <c r="V49" s="264">
        <f t="shared" si="40"/>
        <v>40</v>
      </c>
      <c r="W49" s="264">
        <f t="shared" si="40"/>
        <v>40</v>
      </c>
      <c r="X49" s="264">
        <f t="shared" si="40"/>
        <v>40</v>
      </c>
      <c r="Y49" s="264">
        <f t="shared" si="40"/>
        <v>40</v>
      </c>
      <c r="Z49" s="264">
        <f t="shared" si="40"/>
        <v>40</v>
      </c>
      <c r="AA49" s="264">
        <f t="shared" si="40"/>
        <v>40</v>
      </c>
      <c r="AB49" s="264">
        <f t="shared" si="40"/>
        <v>40</v>
      </c>
      <c r="AC49" s="264">
        <f t="shared" si="40"/>
        <v>40</v>
      </c>
      <c r="AD49" s="264">
        <f t="shared" si="40"/>
        <v>40</v>
      </c>
      <c r="AE49" s="264">
        <f t="shared" si="40"/>
        <v>40</v>
      </c>
      <c r="AF49" s="264">
        <f t="shared" si="40"/>
        <v>40</v>
      </c>
      <c r="AG49" s="264">
        <f t="shared" si="40"/>
        <v>40</v>
      </c>
      <c r="AH49" s="264">
        <f t="shared" si="40"/>
        <v>40</v>
      </c>
      <c r="AI49" s="264">
        <f t="shared" si="40"/>
        <v>40</v>
      </c>
      <c r="AJ49" s="264">
        <f t="shared" si="40"/>
        <v>40</v>
      </c>
      <c r="AK49" s="264">
        <f t="shared" si="40"/>
        <v>40</v>
      </c>
      <c r="AL49" s="264">
        <f t="shared" si="40"/>
        <v>40</v>
      </c>
      <c r="AM49" s="265">
        <f t="shared" si="33"/>
        <v>1440</v>
      </c>
      <c r="AN49" s="304">
        <f t="shared" ref="AN49:AN54" si="41">SUM(C48:N48)</f>
        <v>0</v>
      </c>
      <c r="AO49" s="304">
        <f t="shared" ref="AO49:AO54" si="42">SUM(O48:Z48)</f>
        <v>0</v>
      </c>
      <c r="AP49" s="304">
        <f t="shared" ref="AP49:AP54" si="43">SUM(AA48:AL48)</f>
        <v>0</v>
      </c>
      <c r="AQ49" s="68">
        <f t="shared" si="23"/>
        <v>0</v>
      </c>
      <c r="AR49" s="68"/>
      <c r="AS49" s="68"/>
      <c r="AT49" s="68"/>
      <c r="AU49" s="68"/>
    </row>
    <row r="50" spans="1:47" s="3" customFormat="1" ht="24" customHeight="1" x14ac:dyDescent="0.5">
      <c r="A50" s="16" t="s">
        <v>43</v>
      </c>
      <c r="B50" s="16"/>
      <c r="C50" s="297">
        <f>6+5+(C18*1.5%)</f>
        <v>38</v>
      </c>
      <c r="D50" s="264">
        <f t="shared" si="31"/>
        <v>38</v>
      </c>
      <c r="E50" s="264">
        <f t="shared" si="31"/>
        <v>38</v>
      </c>
      <c r="F50" s="264">
        <f t="shared" si="31"/>
        <v>38</v>
      </c>
      <c r="G50" s="264">
        <f t="shared" si="31"/>
        <v>38</v>
      </c>
      <c r="H50" s="264">
        <f t="shared" si="31"/>
        <v>38</v>
      </c>
      <c r="I50" s="264">
        <f t="shared" si="31"/>
        <v>38</v>
      </c>
      <c r="J50" s="264">
        <f t="shared" si="31"/>
        <v>38</v>
      </c>
      <c r="K50" s="104">
        <f t="shared" si="31"/>
        <v>38</v>
      </c>
      <c r="L50" s="264">
        <f t="shared" si="31"/>
        <v>38</v>
      </c>
      <c r="M50" s="264">
        <f t="shared" si="31"/>
        <v>38</v>
      </c>
      <c r="N50" s="104">
        <f t="shared" si="31"/>
        <v>38</v>
      </c>
      <c r="O50" s="104">
        <f t="shared" ref="O50" si="44">N50</f>
        <v>38</v>
      </c>
      <c r="P50" s="104">
        <f t="shared" ref="P50" si="45">O50</f>
        <v>38</v>
      </c>
      <c r="Q50" s="104">
        <f t="shared" ref="Q50" si="46">P50</f>
        <v>38</v>
      </c>
      <c r="R50" s="104">
        <f t="shared" ref="R50" si="47">Q50</f>
        <v>38</v>
      </c>
      <c r="S50" s="104">
        <f t="shared" ref="S50" si="48">R50</f>
        <v>38</v>
      </c>
      <c r="T50" s="104">
        <f t="shared" ref="T50" si="49">S50</f>
        <v>38</v>
      </c>
      <c r="U50" s="104">
        <f t="shared" ref="U50" si="50">T50</f>
        <v>38</v>
      </c>
      <c r="V50" s="104">
        <f t="shared" ref="V50" si="51">U50</f>
        <v>38</v>
      </c>
      <c r="W50" s="104">
        <f t="shared" ref="W50" si="52">V50</f>
        <v>38</v>
      </c>
      <c r="X50" s="104">
        <f t="shared" ref="X50" si="53">W50</f>
        <v>38</v>
      </c>
      <c r="Y50" s="104">
        <f t="shared" ref="Y50" si="54">X50</f>
        <v>38</v>
      </c>
      <c r="Z50" s="104">
        <f t="shared" ref="Z50" si="55">Y50</f>
        <v>38</v>
      </c>
      <c r="AA50" s="104">
        <f t="shared" ref="AA50" si="56">Z50</f>
        <v>38</v>
      </c>
      <c r="AB50" s="104">
        <f t="shared" ref="AB50" si="57">AA50</f>
        <v>38</v>
      </c>
      <c r="AC50" s="104">
        <f t="shared" ref="AC50" si="58">AB50</f>
        <v>38</v>
      </c>
      <c r="AD50" s="104">
        <f t="shared" ref="AD50" si="59">AC50</f>
        <v>38</v>
      </c>
      <c r="AE50" s="104">
        <f t="shared" ref="AE50" si="60">AD50</f>
        <v>38</v>
      </c>
      <c r="AF50" s="104">
        <f t="shared" ref="AF50" si="61">AE50</f>
        <v>38</v>
      </c>
      <c r="AG50" s="104">
        <f t="shared" ref="AG50" si="62">AF50</f>
        <v>38</v>
      </c>
      <c r="AH50" s="104">
        <f t="shared" ref="AH50" si="63">AG50</f>
        <v>38</v>
      </c>
      <c r="AI50" s="104">
        <f t="shared" ref="AI50" si="64">AH50</f>
        <v>38</v>
      </c>
      <c r="AJ50" s="104">
        <f t="shared" ref="AJ50" si="65">AI50</f>
        <v>38</v>
      </c>
      <c r="AK50" s="104">
        <f t="shared" ref="AK50" si="66">AJ50</f>
        <v>38</v>
      </c>
      <c r="AL50" s="104">
        <f t="shared" ref="AL50" si="67">AK50</f>
        <v>38</v>
      </c>
      <c r="AM50" s="265">
        <f>SUM(C50:AL50)</f>
        <v>1368</v>
      </c>
      <c r="AN50" s="303">
        <f>SUM(C49:N49)</f>
        <v>480</v>
      </c>
      <c r="AO50" s="303">
        <f t="shared" si="42"/>
        <v>480</v>
      </c>
      <c r="AP50" s="303">
        <f t="shared" si="43"/>
        <v>480</v>
      </c>
      <c r="AQ50" s="68">
        <f t="shared" si="23"/>
        <v>0</v>
      </c>
      <c r="AR50" s="68"/>
      <c r="AS50" s="68"/>
      <c r="AT50" s="68"/>
      <c r="AU50" s="68"/>
    </row>
    <row r="51" spans="1:47" s="3" customFormat="1" ht="24" customHeight="1" x14ac:dyDescent="0.5">
      <c r="A51" s="16" t="s">
        <v>44</v>
      </c>
      <c r="B51" s="16"/>
      <c r="C51" s="297">
        <v>0</v>
      </c>
      <c r="D51" s="264">
        <f t="shared" ref="D51:N56" si="68">C51</f>
        <v>0</v>
      </c>
      <c r="E51" s="264">
        <f t="shared" si="68"/>
        <v>0</v>
      </c>
      <c r="F51" s="264">
        <f t="shared" si="68"/>
        <v>0</v>
      </c>
      <c r="G51" s="264">
        <f t="shared" si="68"/>
        <v>0</v>
      </c>
      <c r="H51" s="264">
        <f t="shared" si="68"/>
        <v>0</v>
      </c>
      <c r="I51" s="264">
        <f t="shared" si="68"/>
        <v>0</v>
      </c>
      <c r="J51" s="264">
        <f t="shared" si="68"/>
        <v>0</v>
      </c>
      <c r="K51" s="104">
        <f t="shared" si="68"/>
        <v>0</v>
      </c>
      <c r="L51" s="264">
        <f t="shared" si="68"/>
        <v>0</v>
      </c>
      <c r="M51" s="264">
        <f t="shared" si="68"/>
        <v>0</v>
      </c>
      <c r="N51" s="104">
        <f t="shared" si="68"/>
        <v>0</v>
      </c>
      <c r="O51" s="264">
        <v>0</v>
      </c>
      <c r="P51" s="264">
        <v>0</v>
      </c>
      <c r="Q51" s="104">
        <v>0</v>
      </c>
      <c r="R51" s="264">
        <v>0</v>
      </c>
      <c r="S51" s="264">
        <v>0</v>
      </c>
      <c r="T51" s="264">
        <v>0</v>
      </c>
      <c r="U51" s="264">
        <v>0</v>
      </c>
      <c r="V51" s="264">
        <v>0</v>
      </c>
      <c r="W51" s="264">
        <v>0</v>
      </c>
      <c r="X51" s="264">
        <v>0</v>
      </c>
      <c r="Y51" s="264">
        <v>0</v>
      </c>
      <c r="Z51" s="264">
        <v>0</v>
      </c>
      <c r="AA51" s="264">
        <v>0</v>
      </c>
      <c r="AB51" s="264">
        <v>0</v>
      </c>
      <c r="AC51" s="264">
        <v>0</v>
      </c>
      <c r="AD51" s="264">
        <v>0</v>
      </c>
      <c r="AE51" s="264">
        <v>0</v>
      </c>
      <c r="AF51" s="264">
        <v>0</v>
      </c>
      <c r="AG51" s="264">
        <v>0</v>
      </c>
      <c r="AH51" s="264">
        <v>0</v>
      </c>
      <c r="AI51" s="264">
        <v>0</v>
      </c>
      <c r="AJ51" s="264">
        <v>0</v>
      </c>
      <c r="AK51" s="264">
        <v>0</v>
      </c>
      <c r="AL51" s="264">
        <v>0</v>
      </c>
      <c r="AM51" s="265">
        <f t="shared" si="33"/>
        <v>0</v>
      </c>
      <c r="AN51" s="304">
        <f t="shared" si="41"/>
        <v>456</v>
      </c>
      <c r="AO51" s="304">
        <f t="shared" si="42"/>
        <v>456</v>
      </c>
      <c r="AP51" s="304">
        <f t="shared" si="43"/>
        <v>456</v>
      </c>
      <c r="AQ51" s="68">
        <f t="shared" si="23"/>
        <v>0</v>
      </c>
      <c r="AR51" s="68"/>
      <c r="AS51" s="68">
        <f>AN34+AN35+AN37+AN38+AN40+AN41+AN43+AN45+AN46+AN48+AN50+AN53+AN54+AN56</f>
        <v>44636.545538461542</v>
      </c>
      <c r="AT51" s="68">
        <f>AO34+AO35+AO37+AO38+AO40+AO41+AO43+AO45+AO46+AO47+AO48+AO50+AO53+AO54+AO56</f>
        <v>67204.615384615376</v>
      </c>
      <c r="AU51" s="68">
        <f>AP34+AP35+AP37+AP38+AP40+AP41+AP43+AP45+AP46+AP47+AP48+AP50+AP53+AP54+AP56</f>
        <v>91966.153846153844</v>
      </c>
    </row>
    <row r="52" spans="1:47" s="3" customFormat="1" ht="24" customHeight="1" x14ac:dyDescent="0.5">
      <c r="A52" s="16" t="s">
        <v>45</v>
      </c>
      <c r="B52" s="16"/>
      <c r="C52" s="297">
        <v>25</v>
      </c>
      <c r="D52" s="264">
        <f t="shared" si="68"/>
        <v>25</v>
      </c>
      <c r="E52" s="264">
        <f t="shared" si="68"/>
        <v>25</v>
      </c>
      <c r="F52" s="264">
        <f t="shared" si="68"/>
        <v>25</v>
      </c>
      <c r="G52" s="264">
        <f t="shared" si="68"/>
        <v>25</v>
      </c>
      <c r="H52" s="264">
        <f t="shared" si="68"/>
        <v>25</v>
      </c>
      <c r="I52" s="264">
        <f t="shared" si="68"/>
        <v>25</v>
      </c>
      <c r="J52" s="264">
        <f t="shared" si="68"/>
        <v>25</v>
      </c>
      <c r="K52" s="104">
        <f t="shared" si="68"/>
        <v>25</v>
      </c>
      <c r="L52" s="264">
        <f t="shared" si="68"/>
        <v>25</v>
      </c>
      <c r="M52" s="264">
        <f t="shared" si="68"/>
        <v>25</v>
      </c>
      <c r="N52" s="104">
        <f t="shared" si="68"/>
        <v>25</v>
      </c>
      <c r="O52" s="264">
        <v>25</v>
      </c>
      <c r="P52" s="264">
        <v>25</v>
      </c>
      <c r="Q52" s="104">
        <v>25</v>
      </c>
      <c r="R52" s="264">
        <v>25</v>
      </c>
      <c r="S52" s="264">
        <v>25</v>
      </c>
      <c r="T52" s="264">
        <v>25</v>
      </c>
      <c r="U52" s="264">
        <v>25</v>
      </c>
      <c r="V52" s="264">
        <v>25</v>
      </c>
      <c r="W52" s="264">
        <v>25</v>
      </c>
      <c r="X52" s="264">
        <v>25</v>
      </c>
      <c r="Y52" s="264">
        <v>25</v>
      </c>
      <c r="Z52" s="264">
        <v>25</v>
      </c>
      <c r="AA52" s="264">
        <v>25</v>
      </c>
      <c r="AB52" s="264">
        <v>25</v>
      </c>
      <c r="AC52" s="264">
        <v>25</v>
      </c>
      <c r="AD52" s="264">
        <v>25</v>
      </c>
      <c r="AE52" s="264">
        <v>25</v>
      </c>
      <c r="AF52" s="264">
        <v>25</v>
      </c>
      <c r="AG52" s="264">
        <v>25</v>
      </c>
      <c r="AH52" s="264">
        <v>25</v>
      </c>
      <c r="AI52" s="264">
        <v>25</v>
      </c>
      <c r="AJ52" s="264">
        <v>25</v>
      </c>
      <c r="AK52" s="264">
        <v>25</v>
      </c>
      <c r="AL52" s="264">
        <v>25</v>
      </c>
      <c r="AM52" s="265">
        <f t="shared" si="33"/>
        <v>900</v>
      </c>
      <c r="AN52" s="304">
        <f t="shared" si="41"/>
        <v>0</v>
      </c>
      <c r="AO52" s="304">
        <f t="shared" si="42"/>
        <v>0</v>
      </c>
      <c r="AP52" s="304">
        <f t="shared" si="43"/>
        <v>0</v>
      </c>
      <c r="AQ52" s="68">
        <f t="shared" si="23"/>
        <v>0</v>
      </c>
      <c r="AR52" s="68"/>
      <c r="AS52" s="68"/>
      <c r="AT52" s="68"/>
      <c r="AU52" s="68"/>
    </row>
    <row r="53" spans="1:47" s="3" customFormat="1" ht="24" customHeight="1" x14ac:dyDescent="0.5">
      <c r="A53" s="16" t="s">
        <v>46</v>
      </c>
      <c r="B53" s="16"/>
      <c r="C53" s="297">
        <v>25</v>
      </c>
      <c r="D53" s="264">
        <f t="shared" si="68"/>
        <v>25</v>
      </c>
      <c r="E53" s="264">
        <f t="shared" si="68"/>
        <v>25</v>
      </c>
      <c r="F53" s="264">
        <f t="shared" si="68"/>
        <v>25</v>
      </c>
      <c r="G53" s="264">
        <f t="shared" si="68"/>
        <v>25</v>
      </c>
      <c r="H53" s="264">
        <f t="shared" si="68"/>
        <v>25</v>
      </c>
      <c r="I53" s="264">
        <f t="shared" si="68"/>
        <v>25</v>
      </c>
      <c r="J53" s="264">
        <f t="shared" si="68"/>
        <v>25</v>
      </c>
      <c r="K53" s="104">
        <f t="shared" si="68"/>
        <v>25</v>
      </c>
      <c r="L53" s="264">
        <f t="shared" si="68"/>
        <v>25</v>
      </c>
      <c r="M53" s="264">
        <f t="shared" si="68"/>
        <v>25</v>
      </c>
      <c r="N53" s="104">
        <f t="shared" si="68"/>
        <v>25</v>
      </c>
      <c r="O53" s="264">
        <v>25</v>
      </c>
      <c r="P53" s="264">
        <v>25</v>
      </c>
      <c r="Q53" s="104">
        <v>25</v>
      </c>
      <c r="R53" s="264">
        <v>25</v>
      </c>
      <c r="S53" s="264">
        <v>25</v>
      </c>
      <c r="T53" s="264">
        <v>25</v>
      </c>
      <c r="U53" s="264">
        <v>25</v>
      </c>
      <c r="V53" s="264">
        <v>25</v>
      </c>
      <c r="W53" s="264">
        <v>25</v>
      </c>
      <c r="X53" s="264">
        <v>25</v>
      </c>
      <c r="Y53" s="264">
        <v>25</v>
      </c>
      <c r="Z53" s="264">
        <v>25</v>
      </c>
      <c r="AA53" s="264">
        <v>25</v>
      </c>
      <c r="AB53" s="264">
        <v>25</v>
      </c>
      <c r="AC53" s="264">
        <v>25</v>
      </c>
      <c r="AD53" s="264">
        <v>25</v>
      </c>
      <c r="AE53" s="264">
        <v>25</v>
      </c>
      <c r="AF53" s="264">
        <v>25</v>
      </c>
      <c r="AG53" s="264">
        <v>25</v>
      </c>
      <c r="AH53" s="264">
        <v>25</v>
      </c>
      <c r="AI53" s="264">
        <v>25</v>
      </c>
      <c r="AJ53" s="264">
        <v>25</v>
      </c>
      <c r="AK53" s="264">
        <v>25</v>
      </c>
      <c r="AL53" s="264">
        <v>25</v>
      </c>
      <c r="AM53" s="286">
        <f t="shared" si="33"/>
        <v>900</v>
      </c>
      <c r="AN53" s="304">
        <f t="shared" si="41"/>
        <v>300</v>
      </c>
      <c r="AO53" s="304">
        <f t="shared" si="42"/>
        <v>300</v>
      </c>
      <c r="AP53" s="304">
        <f t="shared" si="43"/>
        <v>300</v>
      </c>
      <c r="AQ53" s="68">
        <f t="shared" si="23"/>
        <v>0</v>
      </c>
      <c r="AR53" s="68"/>
      <c r="AS53" s="631" t="s">
        <v>47</v>
      </c>
      <c r="AT53" s="631"/>
      <c r="AU53" s="631"/>
    </row>
    <row r="54" spans="1:47" s="3" customFormat="1" ht="24" customHeight="1" x14ac:dyDescent="0.5">
      <c r="A54" s="16" t="s">
        <v>48</v>
      </c>
      <c r="B54" s="16"/>
      <c r="C54" s="297">
        <v>25</v>
      </c>
      <c r="D54" s="264">
        <f t="shared" si="68"/>
        <v>25</v>
      </c>
      <c r="E54" s="264">
        <f t="shared" si="68"/>
        <v>25</v>
      </c>
      <c r="F54" s="264">
        <f t="shared" si="68"/>
        <v>25</v>
      </c>
      <c r="G54" s="264">
        <f t="shared" si="68"/>
        <v>25</v>
      </c>
      <c r="H54" s="264">
        <f t="shared" si="68"/>
        <v>25</v>
      </c>
      <c r="I54" s="264">
        <f t="shared" si="68"/>
        <v>25</v>
      </c>
      <c r="J54" s="264">
        <f t="shared" si="68"/>
        <v>25</v>
      </c>
      <c r="K54" s="104">
        <f t="shared" si="68"/>
        <v>25</v>
      </c>
      <c r="L54" s="264">
        <f t="shared" si="68"/>
        <v>25</v>
      </c>
      <c r="M54" s="264">
        <f t="shared" si="68"/>
        <v>25</v>
      </c>
      <c r="N54" s="104">
        <f t="shared" si="68"/>
        <v>25</v>
      </c>
      <c r="O54" s="264">
        <v>25</v>
      </c>
      <c r="P54" s="264">
        <v>25</v>
      </c>
      <c r="Q54" s="104">
        <v>25</v>
      </c>
      <c r="R54" s="264">
        <v>25</v>
      </c>
      <c r="S54" s="264">
        <v>25</v>
      </c>
      <c r="T54" s="264">
        <v>25</v>
      </c>
      <c r="U54" s="264">
        <v>25</v>
      </c>
      <c r="V54" s="264">
        <v>25</v>
      </c>
      <c r="W54" s="264">
        <v>25</v>
      </c>
      <c r="X54" s="264">
        <v>25</v>
      </c>
      <c r="Y54" s="264">
        <v>25</v>
      </c>
      <c r="Z54" s="264">
        <v>25</v>
      </c>
      <c r="AA54" s="264">
        <v>25</v>
      </c>
      <c r="AB54" s="264">
        <v>25</v>
      </c>
      <c r="AC54" s="264">
        <v>25</v>
      </c>
      <c r="AD54" s="264">
        <v>25</v>
      </c>
      <c r="AE54" s="264">
        <v>25</v>
      </c>
      <c r="AF54" s="264">
        <v>25</v>
      </c>
      <c r="AG54" s="264">
        <v>25</v>
      </c>
      <c r="AH54" s="264">
        <v>25</v>
      </c>
      <c r="AI54" s="264">
        <v>25</v>
      </c>
      <c r="AJ54" s="264">
        <v>25</v>
      </c>
      <c r="AK54" s="264">
        <v>25</v>
      </c>
      <c r="AL54" s="264">
        <v>25</v>
      </c>
      <c r="AM54" s="286">
        <f t="shared" si="33"/>
        <v>900</v>
      </c>
      <c r="AN54" s="304">
        <f t="shared" si="41"/>
        <v>300</v>
      </c>
      <c r="AO54" s="304">
        <f t="shared" si="42"/>
        <v>300</v>
      </c>
      <c r="AP54" s="304">
        <f t="shared" si="43"/>
        <v>300</v>
      </c>
      <c r="AQ54" s="68">
        <f>AN56+AO56+AP56-AM54</f>
        <v>0</v>
      </c>
      <c r="AR54" s="68"/>
      <c r="AS54" s="214" t="s">
        <v>49</v>
      </c>
      <c r="AT54" s="214" t="s">
        <v>49</v>
      </c>
      <c r="AU54" s="214" t="s">
        <v>49</v>
      </c>
    </row>
    <row r="55" spans="1:47" s="3" customFormat="1" ht="24" customHeight="1" x14ac:dyDescent="0.5">
      <c r="A55" s="24" t="s">
        <v>50</v>
      </c>
      <c r="B55" s="16"/>
      <c r="C55" s="297">
        <v>0</v>
      </c>
      <c r="D55" s="264">
        <f t="shared" si="68"/>
        <v>0</v>
      </c>
      <c r="E55" s="264">
        <f t="shared" si="68"/>
        <v>0</v>
      </c>
      <c r="F55" s="264">
        <f t="shared" si="68"/>
        <v>0</v>
      </c>
      <c r="G55" s="264">
        <f t="shared" si="68"/>
        <v>0</v>
      </c>
      <c r="H55" s="264">
        <f t="shared" si="68"/>
        <v>0</v>
      </c>
      <c r="I55" s="264">
        <f t="shared" si="68"/>
        <v>0</v>
      </c>
      <c r="J55" s="264">
        <f t="shared" si="68"/>
        <v>0</v>
      </c>
      <c r="K55" s="104">
        <f t="shared" si="68"/>
        <v>0</v>
      </c>
      <c r="L55" s="264">
        <f t="shared" si="68"/>
        <v>0</v>
      </c>
      <c r="M55" s="264">
        <f t="shared" si="68"/>
        <v>0</v>
      </c>
      <c r="N55" s="104">
        <f t="shared" si="68"/>
        <v>0</v>
      </c>
      <c r="O55" s="264">
        <v>0</v>
      </c>
      <c r="P55" s="264">
        <v>0</v>
      </c>
      <c r="Q55" s="104">
        <v>0</v>
      </c>
      <c r="R55" s="264">
        <v>0</v>
      </c>
      <c r="S55" s="264">
        <v>0</v>
      </c>
      <c r="T55" s="264">
        <v>0</v>
      </c>
      <c r="U55" s="264">
        <v>0</v>
      </c>
      <c r="V55" s="264">
        <v>0</v>
      </c>
      <c r="W55" s="264">
        <v>0</v>
      </c>
      <c r="X55" s="264">
        <v>0</v>
      </c>
      <c r="Y55" s="264">
        <v>0</v>
      </c>
      <c r="Z55" s="264">
        <v>0</v>
      </c>
      <c r="AA55" s="264">
        <v>0</v>
      </c>
      <c r="AB55" s="264">
        <v>0</v>
      </c>
      <c r="AC55" s="264">
        <v>0</v>
      </c>
      <c r="AD55" s="264">
        <v>0</v>
      </c>
      <c r="AE55" s="264">
        <v>0</v>
      </c>
      <c r="AF55" s="264">
        <v>0</v>
      </c>
      <c r="AG55" s="264">
        <v>0</v>
      </c>
      <c r="AH55" s="264">
        <v>0</v>
      </c>
      <c r="AI55" s="264">
        <v>0</v>
      </c>
      <c r="AJ55" s="264">
        <v>0</v>
      </c>
      <c r="AK55" s="264">
        <v>0</v>
      </c>
      <c r="AL55" s="264">
        <f>AU87</f>
        <v>4020.9476923076927</v>
      </c>
      <c r="AM55" s="286">
        <f t="shared" si="33"/>
        <v>4020.9476923076927</v>
      </c>
      <c r="AN55" s="304">
        <f>SUM(C55:N55)</f>
        <v>0</v>
      </c>
      <c r="AO55" s="304">
        <f>SUM(O55:Z55)</f>
        <v>0</v>
      </c>
      <c r="AP55" s="304">
        <f>SUM(AA55:AL55)</f>
        <v>4020.9476923076927</v>
      </c>
      <c r="AQ55" s="68">
        <f>AN57+AO57+AP57-AM55</f>
        <v>-4020.9476923076927</v>
      </c>
      <c r="AR55" s="68"/>
      <c r="AS55" s="214"/>
      <c r="AT55" s="214"/>
      <c r="AU55" s="214"/>
    </row>
    <row r="56" spans="1:47" s="3" customFormat="1" ht="24" customHeight="1" x14ac:dyDescent="0.5">
      <c r="A56" s="16" t="s">
        <v>51</v>
      </c>
      <c r="B56" s="16"/>
      <c r="C56" s="297">
        <f>(0)*11%</f>
        <v>0</v>
      </c>
      <c r="D56" s="264">
        <f t="shared" si="68"/>
        <v>0</v>
      </c>
      <c r="E56" s="264">
        <f t="shared" si="68"/>
        <v>0</v>
      </c>
      <c r="F56" s="264">
        <f t="shared" si="68"/>
        <v>0</v>
      </c>
      <c r="G56" s="264">
        <f t="shared" si="68"/>
        <v>0</v>
      </c>
      <c r="H56" s="264">
        <f t="shared" si="68"/>
        <v>0</v>
      </c>
      <c r="I56" s="264">
        <f t="shared" si="68"/>
        <v>0</v>
      </c>
      <c r="J56" s="264">
        <f t="shared" si="68"/>
        <v>0</v>
      </c>
      <c r="K56" s="104">
        <f t="shared" si="68"/>
        <v>0</v>
      </c>
      <c r="L56" s="264">
        <f t="shared" si="68"/>
        <v>0</v>
      </c>
      <c r="M56" s="264">
        <f t="shared" si="68"/>
        <v>0</v>
      </c>
      <c r="N56" s="104">
        <f t="shared" si="68"/>
        <v>0</v>
      </c>
      <c r="O56" s="264">
        <f>N56</f>
        <v>0</v>
      </c>
      <c r="P56" s="264">
        <f t="shared" ref="P56:AL56" si="69">O56</f>
        <v>0</v>
      </c>
      <c r="Q56" s="104">
        <f t="shared" si="69"/>
        <v>0</v>
      </c>
      <c r="R56" s="264">
        <f t="shared" si="69"/>
        <v>0</v>
      </c>
      <c r="S56" s="264">
        <f t="shared" si="69"/>
        <v>0</v>
      </c>
      <c r="T56" s="264">
        <f t="shared" si="69"/>
        <v>0</v>
      </c>
      <c r="U56" s="264">
        <f t="shared" si="69"/>
        <v>0</v>
      </c>
      <c r="V56" s="264">
        <f t="shared" si="69"/>
        <v>0</v>
      </c>
      <c r="W56" s="264">
        <f t="shared" si="69"/>
        <v>0</v>
      </c>
      <c r="X56" s="264">
        <f t="shared" si="69"/>
        <v>0</v>
      </c>
      <c r="Y56" s="264">
        <f t="shared" si="69"/>
        <v>0</v>
      </c>
      <c r="Z56" s="264">
        <f t="shared" si="69"/>
        <v>0</v>
      </c>
      <c r="AA56" s="264">
        <f t="shared" si="69"/>
        <v>0</v>
      </c>
      <c r="AB56" s="264">
        <f t="shared" si="69"/>
        <v>0</v>
      </c>
      <c r="AC56" s="264">
        <f t="shared" si="69"/>
        <v>0</v>
      </c>
      <c r="AD56" s="264">
        <f t="shared" si="69"/>
        <v>0</v>
      </c>
      <c r="AE56" s="264">
        <f t="shared" si="69"/>
        <v>0</v>
      </c>
      <c r="AF56" s="264">
        <f t="shared" si="69"/>
        <v>0</v>
      </c>
      <c r="AG56" s="264">
        <f t="shared" si="69"/>
        <v>0</v>
      </c>
      <c r="AH56" s="264">
        <f t="shared" si="69"/>
        <v>0</v>
      </c>
      <c r="AI56" s="264">
        <f t="shared" si="69"/>
        <v>0</v>
      </c>
      <c r="AJ56" s="264">
        <f t="shared" si="69"/>
        <v>0</v>
      </c>
      <c r="AK56" s="264">
        <f t="shared" si="69"/>
        <v>0</v>
      </c>
      <c r="AL56" s="264">
        <f t="shared" si="69"/>
        <v>0</v>
      </c>
      <c r="AM56" s="286">
        <f t="shared" si="33"/>
        <v>0</v>
      </c>
      <c r="AN56" s="304">
        <f>SUM(C54:N54)</f>
        <v>300</v>
      </c>
      <c r="AO56" s="304">
        <f>SUM(O54:Z54)</f>
        <v>300</v>
      </c>
      <c r="AP56" s="304">
        <f>SUM(AA54:AL54)</f>
        <v>300</v>
      </c>
      <c r="AQ56" s="68">
        <f t="shared" si="23"/>
        <v>0</v>
      </c>
      <c r="AR56" s="68"/>
      <c r="AS56" s="306" t="s">
        <v>14</v>
      </c>
      <c r="AT56" s="306" t="s">
        <v>15</v>
      </c>
      <c r="AU56" s="306" t="s">
        <v>16</v>
      </c>
    </row>
    <row r="57" spans="1:47" s="3" customFormat="1" ht="24" customHeight="1" x14ac:dyDescent="0.5">
      <c r="A57" s="45" t="s">
        <v>52</v>
      </c>
      <c r="B57" s="45"/>
      <c r="C57" s="283">
        <f>SUM(C28:C56)</f>
        <v>5125.981358974359</v>
      </c>
      <c r="D57" s="283">
        <f t="shared" ref="D57:AL57" si="70">SUM(D28:D56)</f>
        <v>5125.981358974359</v>
      </c>
      <c r="E57" s="283">
        <f t="shared" si="70"/>
        <v>14125.981358974357</v>
      </c>
      <c r="F57" s="283">
        <f t="shared" si="70"/>
        <v>5125.981358974359</v>
      </c>
      <c r="G57" s="283">
        <f t="shared" si="70"/>
        <v>5125.981358974359</v>
      </c>
      <c r="H57" s="283">
        <f t="shared" si="70"/>
        <v>5125.981358974359</v>
      </c>
      <c r="I57" s="283">
        <f t="shared" si="70"/>
        <v>5125.981358974359</v>
      </c>
      <c r="J57" s="283">
        <f t="shared" si="70"/>
        <v>5125.981358974359</v>
      </c>
      <c r="K57" s="126">
        <f t="shared" si="70"/>
        <v>25125.981358974361</v>
      </c>
      <c r="L57" s="283">
        <f t="shared" si="70"/>
        <v>9125.9813589743571</v>
      </c>
      <c r="M57" s="283">
        <f>SUM(M28:M56)</f>
        <v>5125.981358974359</v>
      </c>
      <c r="N57" s="126">
        <f>SUM(N28:N56)</f>
        <v>5125.981358974359</v>
      </c>
      <c r="O57" s="283">
        <f t="shared" si="70"/>
        <v>13417.74358974359</v>
      </c>
      <c r="P57" s="283">
        <f t="shared" si="70"/>
        <v>78417.743589743593</v>
      </c>
      <c r="Q57" s="126">
        <f t="shared" si="70"/>
        <v>65417.743589743586</v>
      </c>
      <c r="R57" s="283">
        <f t="shared" si="70"/>
        <v>62417.743589743586</v>
      </c>
      <c r="S57" s="283">
        <f t="shared" si="70"/>
        <v>12417.74358974359</v>
      </c>
      <c r="T57" s="283">
        <f t="shared" si="70"/>
        <v>12417.74358974359</v>
      </c>
      <c r="U57" s="283">
        <f t="shared" si="70"/>
        <v>78417.743589743593</v>
      </c>
      <c r="V57" s="283">
        <f t="shared" si="70"/>
        <v>68417.743589743593</v>
      </c>
      <c r="W57" s="283">
        <f t="shared" si="70"/>
        <v>63417.743589743586</v>
      </c>
      <c r="X57" s="283">
        <f t="shared" si="70"/>
        <v>12417.74358974359</v>
      </c>
      <c r="Y57" s="283">
        <f t="shared" si="70"/>
        <v>12417.74358974359</v>
      </c>
      <c r="Z57" s="283">
        <f t="shared" si="70"/>
        <v>12417.74358974359</v>
      </c>
      <c r="AA57" s="283">
        <f t="shared" si="70"/>
        <v>17325.435897435898</v>
      </c>
      <c r="AB57" s="283">
        <f t="shared" si="70"/>
        <v>107325.43589743591</v>
      </c>
      <c r="AC57" s="283">
        <f t="shared" si="70"/>
        <v>72325.435897435906</v>
      </c>
      <c r="AD57" s="283">
        <f t="shared" si="70"/>
        <v>72325.435897435906</v>
      </c>
      <c r="AE57" s="283">
        <f t="shared" si="70"/>
        <v>22325.435897435898</v>
      </c>
      <c r="AF57" s="283">
        <f t="shared" si="70"/>
        <v>16325.435897435897</v>
      </c>
      <c r="AG57" s="283">
        <f t="shared" si="70"/>
        <v>82325.435897435906</v>
      </c>
      <c r="AH57" s="283">
        <f t="shared" si="70"/>
        <v>72325.435897435906</v>
      </c>
      <c r="AI57" s="283">
        <f t="shared" si="70"/>
        <v>73325.435897435906</v>
      </c>
      <c r="AJ57" s="283">
        <f t="shared" si="70"/>
        <v>16325.435897435897</v>
      </c>
      <c r="AK57" s="283">
        <f t="shared" si="70"/>
        <v>16325.435897435897</v>
      </c>
      <c r="AL57" s="283">
        <f t="shared" si="70"/>
        <v>20346.383589743589</v>
      </c>
      <c r="AM57" s="284">
        <f>SUM(AM28:AM56)</f>
        <v>1175450.8778461539</v>
      </c>
      <c r="AN57" s="303">
        <f t="shared" ref="AN57" si="71">SUM(C56:N56)</f>
        <v>0</v>
      </c>
      <c r="AO57" s="303">
        <f t="shared" ref="AO57" si="72">SUM(O56:Z56)</f>
        <v>0</v>
      </c>
      <c r="AP57" s="303">
        <f t="shared" ref="AP57" si="73">SUM(AA56:AL56)</f>
        <v>0</v>
      </c>
      <c r="AQ57" s="68">
        <f>(AN58+AO58+AP58)-AM57</f>
        <v>0</v>
      </c>
      <c r="AR57" s="68"/>
      <c r="AS57" s="68">
        <f>AN19</f>
        <v>142274</v>
      </c>
      <c r="AT57" s="68">
        <f>AO19</f>
        <v>748000</v>
      </c>
      <c r="AU57" s="68">
        <f>AP19</f>
        <v>997000</v>
      </c>
    </row>
    <row r="58" spans="1:47" s="3" customFormat="1" ht="24" customHeight="1" x14ac:dyDescent="0.5">
      <c r="C58" s="246"/>
      <c r="D58" s="246"/>
      <c r="E58" s="246"/>
      <c r="F58" s="246"/>
      <c r="G58" s="246"/>
      <c r="H58" s="246"/>
      <c r="I58" s="246"/>
      <c r="J58" s="246"/>
      <c r="K58" s="139"/>
      <c r="L58" s="246"/>
      <c r="M58" s="246"/>
      <c r="N58" s="139"/>
      <c r="O58" s="246"/>
      <c r="P58" s="246"/>
      <c r="Q58" s="139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6"/>
      <c r="AG58" s="246"/>
      <c r="AH58" s="246"/>
      <c r="AI58" s="246"/>
      <c r="AJ58" s="246"/>
      <c r="AK58" s="246"/>
      <c r="AL58" s="246"/>
      <c r="AM58" s="288"/>
      <c r="AN58" s="294">
        <f>SUM(C57:N57)</f>
        <v>94511.7763076923</v>
      </c>
      <c r="AO58" s="294">
        <f>SUM(O57:Z57)</f>
        <v>492012.92307692301</v>
      </c>
      <c r="AP58" s="294">
        <f>SUM(AA57:AL57)</f>
        <v>588926.17846153839</v>
      </c>
      <c r="AQ58" s="68"/>
      <c r="AR58" s="68"/>
      <c r="AS58" s="68">
        <f>-AN23</f>
        <v>-12500</v>
      </c>
      <c r="AT58" s="68">
        <f>-AO23</f>
        <v>-10000</v>
      </c>
      <c r="AU58" s="68">
        <f>-AP23</f>
        <v>-10000</v>
      </c>
    </row>
    <row r="59" spans="1:47" s="49" customFormat="1" ht="25.5" customHeight="1" thickBot="1" x14ac:dyDescent="0.4">
      <c r="A59" s="245" t="s">
        <v>140</v>
      </c>
      <c r="B59" s="47"/>
      <c r="C59" s="307">
        <f t="shared" ref="C59:AL59" si="74">C24-C57</f>
        <v>-4825.981358974359</v>
      </c>
      <c r="D59" s="307">
        <f t="shared" si="74"/>
        <v>6624.018641025641</v>
      </c>
      <c r="E59" s="307">
        <f t="shared" si="74"/>
        <v>19128.018641025643</v>
      </c>
      <c r="F59" s="307">
        <f t="shared" si="74"/>
        <v>-4875.981358974359</v>
      </c>
      <c r="G59" s="307">
        <f t="shared" si="74"/>
        <v>-5875.981358974359</v>
      </c>
      <c r="H59" s="307">
        <f t="shared" si="74"/>
        <v>-9375.981358974359</v>
      </c>
      <c r="I59" s="307">
        <f t="shared" si="74"/>
        <v>-3885.981358974359</v>
      </c>
      <c r="J59" s="307">
        <f t="shared" si="74"/>
        <v>-2645.981358974359</v>
      </c>
      <c r="K59" s="140">
        <f t="shared" si="74"/>
        <v>43624.018641025643</v>
      </c>
      <c r="L59" s="307">
        <f t="shared" si="74"/>
        <v>7624.0186410256429</v>
      </c>
      <c r="M59" s="307">
        <f t="shared" si="74"/>
        <v>-5125.981358974359</v>
      </c>
      <c r="N59" s="140">
        <f t="shared" si="74"/>
        <v>-5125.981358974359</v>
      </c>
      <c r="O59" s="307">
        <f t="shared" si="74"/>
        <v>-18417.74358974359</v>
      </c>
      <c r="P59" s="307">
        <f t="shared" si="74"/>
        <v>11082.256410256407</v>
      </c>
      <c r="Q59" s="140">
        <f t="shared" si="74"/>
        <v>14082.256410256414</v>
      </c>
      <c r="R59" s="307">
        <f t="shared" si="74"/>
        <v>35082.256410256414</v>
      </c>
      <c r="S59" s="307">
        <f t="shared" si="74"/>
        <v>-12417.74358974359</v>
      </c>
      <c r="T59" s="307">
        <f t="shared" si="74"/>
        <v>-17417.74358974359</v>
      </c>
      <c r="U59" s="307">
        <f t="shared" si="74"/>
        <v>79082.256410256407</v>
      </c>
      <c r="V59" s="307">
        <f t="shared" si="74"/>
        <v>105582.25641025641</v>
      </c>
      <c r="W59" s="307">
        <f t="shared" si="74"/>
        <v>86582.256410256407</v>
      </c>
      <c r="X59" s="307">
        <f t="shared" si="74"/>
        <v>-12417.74358974359</v>
      </c>
      <c r="Y59" s="307">
        <f t="shared" si="74"/>
        <v>-12417.74358974359</v>
      </c>
      <c r="Z59" s="307">
        <f t="shared" si="74"/>
        <v>-12417.74358974359</v>
      </c>
      <c r="AA59" s="307">
        <f t="shared" si="74"/>
        <v>-22325.435897435898</v>
      </c>
      <c r="AB59" s="307">
        <f t="shared" si="74"/>
        <v>34674.564102564094</v>
      </c>
      <c r="AC59" s="307">
        <f t="shared" si="74"/>
        <v>64174.564102564094</v>
      </c>
      <c r="AD59" s="307">
        <f t="shared" si="74"/>
        <v>101674.56410256409</v>
      </c>
      <c r="AE59" s="307">
        <f t="shared" si="74"/>
        <v>1674.5641025641016</v>
      </c>
      <c r="AF59" s="307">
        <f t="shared" si="74"/>
        <v>-21325.435897435898</v>
      </c>
      <c r="AG59" s="307">
        <f t="shared" si="74"/>
        <v>90174.564102564094</v>
      </c>
      <c r="AH59" s="307">
        <f t="shared" si="74"/>
        <v>101674.56410256409</v>
      </c>
      <c r="AI59" s="307">
        <f t="shared" si="74"/>
        <v>100674.56410256409</v>
      </c>
      <c r="AJ59" s="307">
        <f t="shared" si="74"/>
        <v>-16325.435897435897</v>
      </c>
      <c r="AK59" s="307">
        <f t="shared" si="74"/>
        <v>-16325.435897435897</v>
      </c>
      <c r="AL59" s="307">
        <f t="shared" si="74"/>
        <v>-20346.383589743589</v>
      </c>
      <c r="AM59" s="307">
        <f>AM24-AM57</f>
        <v>679323.12215384608</v>
      </c>
      <c r="AN59" s="308"/>
      <c r="AO59" s="308">
        <f>AO58-AN58</f>
        <v>397501.14676923072</v>
      </c>
      <c r="AP59" s="308">
        <f>AP58-AO58</f>
        <v>96913.25538461539</v>
      </c>
      <c r="AQ59" s="174"/>
      <c r="AR59" s="174"/>
      <c r="AS59" s="309">
        <f>SUM(AS57:AS58)</f>
        <v>129774</v>
      </c>
      <c r="AT59" s="309">
        <f>SUM(AT57:AT58)</f>
        <v>738000</v>
      </c>
      <c r="AU59" s="309">
        <f>SUM(AU57:AU58)</f>
        <v>987000</v>
      </c>
    </row>
    <row r="60" spans="1:47" s="49" customFormat="1" ht="36" customHeight="1" thickTop="1" thickBot="1" x14ac:dyDescent="0.4">
      <c r="A60" s="245" t="s">
        <v>141</v>
      </c>
      <c r="B60" s="51"/>
      <c r="C60" s="231">
        <f>C59</f>
        <v>-4825.981358974359</v>
      </c>
      <c r="D60" s="231">
        <f>C60+D59</f>
        <v>1798.0372820512821</v>
      </c>
      <c r="E60" s="231">
        <f t="shared" ref="E60:M60" si="75">D60+E59</f>
        <v>20926.055923076925</v>
      </c>
      <c r="F60" s="231">
        <f t="shared" si="75"/>
        <v>16050.074564102566</v>
      </c>
      <c r="G60" s="231">
        <f t="shared" si="75"/>
        <v>10174.093205128207</v>
      </c>
      <c r="H60" s="231">
        <f t="shared" si="75"/>
        <v>798.11184615384809</v>
      </c>
      <c r="I60" s="231">
        <f>H60+I59</f>
        <v>-3087.8695128205109</v>
      </c>
      <c r="J60" s="231">
        <f>I60+J59</f>
        <v>-5733.8508717948698</v>
      </c>
      <c r="K60" s="107">
        <f t="shared" si="75"/>
        <v>37890.167769230771</v>
      </c>
      <c r="L60" s="231">
        <f t="shared" si="75"/>
        <v>45514.186410256414</v>
      </c>
      <c r="M60" s="231">
        <f t="shared" si="75"/>
        <v>40388.205051282057</v>
      </c>
      <c r="N60" s="107">
        <f>M60+N59</f>
        <v>35262.2236923077</v>
      </c>
      <c r="O60" s="231">
        <f t="shared" ref="O60:AG60" si="76">N60+O59</f>
        <v>16844.48010256411</v>
      </c>
      <c r="P60" s="231">
        <f t="shared" si="76"/>
        <v>27926.736512820517</v>
      </c>
      <c r="Q60" s="107">
        <f t="shared" si="76"/>
        <v>42008.992923076934</v>
      </c>
      <c r="R60" s="231">
        <f t="shared" si="76"/>
        <v>77091.24933333334</v>
      </c>
      <c r="S60" s="231">
        <f t="shared" si="76"/>
        <v>64673.505743589747</v>
      </c>
      <c r="T60" s="231">
        <f t="shared" si="76"/>
        <v>47255.762153846154</v>
      </c>
      <c r="U60" s="231">
        <f t="shared" si="76"/>
        <v>126338.01856410256</v>
      </c>
      <c r="V60" s="231">
        <f t="shared" si="76"/>
        <v>231920.27497435897</v>
      </c>
      <c r="W60" s="231">
        <f t="shared" si="76"/>
        <v>318502.53138461534</v>
      </c>
      <c r="X60" s="231">
        <f t="shared" si="76"/>
        <v>306084.78779487178</v>
      </c>
      <c r="Y60" s="231">
        <f t="shared" si="76"/>
        <v>293667.04420512822</v>
      </c>
      <c r="Z60" s="231">
        <f t="shared" si="76"/>
        <v>281249.30061538465</v>
      </c>
      <c r="AA60" s="262">
        <f t="shared" si="76"/>
        <v>258923.86471794875</v>
      </c>
      <c r="AB60" s="231">
        <f t="shared" si="76"/>
        <v>293598.42882051284</v>
      </c>
      <c r="AC60" s="231">
        <f t="shared" si="76"/>
        <v>357772.99292307696</v>
      </c>
      <c r="AD60" s="231">
        <f t="shared" si="76"/>
        <v>459447.55702564109</v>
      </c>
      <c r="AE60" s="231">
        <f t="shared" si="76"/>
        <v>461122.12112820521</v>
      </c>
      <c r="AF60" s="231">
        <f t="shared" si="76"/>
        <v>439796.68523076933</v>
      </c>
      <c r="AG60" s="231">
        <f t="shared" si="76"/>
        <v>529971.24933333346</v>
      </c>
      <c r="AH60" s="231">
        <f>AG60+AH59</f>
        <v>631645.81343589758</v>
      </c>
      <c r="AI60" s="231">
        <f t="shared" ref="AI60:AK60" si="77">AH60+AI59</f>
        <v>732320.3775384617</v>
      </c>
      <c r="AJ60" s="231">
        <f t="shared" si="77"/>
        <v>715994.94164102583</v>
      </c>
      <c r="AK60" s="231">
        <f t="shared" si="77"/>
        <v>699669.50574358995</v>
      </c>
      <c r="AL60" s="231">
        <f>AK60+AL59</f>
        <v>679323.12215384631</v>
      </c>
      <c r="AM60" s="286"/>
      <c r="AN60" s="310">
        <f>AM24-AM57-AM59</f>
        <v>0</v>
      </c>
      <c r="AO60" s="310">
        <f>AO59/AN58</f>
        <v>4.2058372226031073</v>
      </c>
      <c r="AP60" s="310">
        <f>AP59/AO58</f>
        <v>0.19697298757631135</v>
      </c>
      <c r="AQ60" s="174"/>
      <c r="AR60" s="174"/>
      <c r="AS60" s="54">
        <f>-AN29+-AN30</f>
        <v>-42000</v>
      </c>
      <c r="AT60" s="54">
        <f>-AO29+-AO30</f>
        <v>-108000</v>
      </c>
      <c r="AU60" s="54">
        <f>-AP29+-AP30</f>
        <v>-144000</v>
      </c>
    </row>
    <row r="61" spans="1:47" s="3" customFormat="1" ht="24" customHeight="1" thickTop="1" x14ac:dyDescent="0.5">
      <c r="C61" s="68"/>
      <c r="D61" s="246"/>
      <c r="E61" s="246"/>
      <c r="F61" s="68"/>
      <c r="G61" s="246"/>
      <c r="H61" s="246"/>
      <c r="I61" s="68"/>
      <c r="J61" s="311"/>
      <c r="K61" s="139"/>
      <c r="L61" s="246"/>
      <c r="M61" s="68"/>
      <c r="N61" s="372"/>
      <c r="O61" s="246"/>
      <c r="P61" s="246"/>
      <c r="Q61" s="139"/>
      <c r="R61" s="246"/>
      <c r="S61" s="246"/>
      <c r="T61" s="246"/>
      <c r="U61" s="246"/>
      <c r="V61" s="68"/>
      <c r="W61" s="246"/>
      <c r="X61" s="246"/>
      <c r="Y61" s="246"/>
      <c r="Z61" s="246"/>
      <c r="AA61" s="68"/>
      <c r="AB61" s="68"/>
      <c r="AC61" s="312" t="s">
        <v>53</v>
      </c>
      <c r="AD61" s="246"/>
      <c r="AE61" s="246"/>
      <c r="AF61" s="246"/>
      <c r="AG61" s="246"/>
      <c r="AH61" s="246"/>
      <c r="AI61" s="246"/>
      <c r="AJ61" s="246"/>
      <c r="AK61" s="246"/>
      <c r="AL61" s="246"/>
      <c r="AM61" s="288" t="e">
        <f>AM59/AD63</f>
        <v>#DIV/0!</v>
      </c>
      <c r="AN61" s="313">
        <f>AN34+AN36+AN39+AN40+AN41+AN42+AN48+AN49+AN51+AN52+AN53+AN54+AN56</f>
        <v>35556</v>
      </c>
      <c r="AO61" s="313">
        <f>AO34+AO36+AO39+AO40+AO41+AO42+AO48+AO49+AO51+AO52+AO53+AO54+AO56</f>
        <v>45716</v>
      </c>
      <c r="AP61" s="313">
        <f>AP34+AP36+AP39+AP40+AP41+AP42+AP48+AP49+AP51+AP52+AP53+AP54+AP56</f>
        <v>66716</v>
      </c>
      <c r="AQ61" s="68"/>
      <c r="AR61" s="68"/>
      <c r="AS61" s="57">
        <f>-AN64</f>
        <v>-17492.545538461538</v>
      </c>
      <c r="AT61" s="57">
        <f>-AO64</f>
        <v>-35660.615384615383</v>
      </c>
      <c r="AU61" s="57">
        <f>-AP64</f>
        <v>-44822.153846153851</v>
      </c>
    </row>
    <row r="62" spans="1:47" s="3" customFormat="1" ht="31.5" customHeight="1" x14ac:dyDescent="0.5">
      <c r="B62" s="49" t="s">
        <v>142</v>
      </c>
      <c r="C62" s="246">
        <f>C33+SUM(C35:C56)</f>
        <v>1175.981358974359</v>
      </c>
      <c r="D62" s="246">
        <f t="shared" ref="D62:E62" si="78">D33+SUM(D35:D56)</f>
        <v>1175.981358974359</v>
      </c>
      <c r="E62" s="246">
        <f t="shared" si="78"/>
        <v>10175.981358974359</v>
      </c>
      <c r="F62" s="68"/>
      <c r="G62" s="246"/>
      <c r="H62" s="246"/>
      <c r="I62" s="246"/>
      <c r="J62" s="246"/>
      <c r="K62" s="139"/>
      <c r="L62" s="246"/>
      <c r="M62" s="68"/>
      <c r="N62" s="139"/>
      <c r="O62" s="314"/>
      <c r="P62" s="246"/>
      <c r="Q62" s="139"/>
      <c r="R62" s="246"/>
      <c r="S62" s="246"/>
      <c r="T62" s="246"/>
      <c r="U62" s="246"/>
      <c r="V62" s="246"/>
      <c r="W62" s="246"/>
      <c r="X62" s="246"/>
      <c r="Y62" s="246"/>
      <c r="Z62" s="246"/>
      <c r="AA62" s="246" t="s">
        <v>54</v>
      </c>
      <c r="AB62" s="246">
        <f>-AC62</f>
        <v>-68772</v>
      </c>
      <c r="AC62" s="247">
        <v>68772</v>
      </c>
      <c r="AD62" s="315" t="s">
        <v>55</v>
      </c>
      <c r="AE62" s="246"/>
      <c r="AF62" s="246"/>
      <c r="AG62" s="246"/>
      <c r="AH62" s="246"/>
      <c r="AI62" s="246"/>
      <c r="AJ62" s="246"/>
      <c r="AK62" s="246"/>
      <c r="AL62" s="246"/>
      <c r="AM62" s="246"/>
      <c r="AN62" s="68">
        <f>AN19-AN23-AN58</f>
        <v>35262.2236923077</v>
      </c>
      <c r="AO62" s="68">
        <f>AO19-AO23-AO58</f>
        <v>245987.07692307699</v>
      </c>
      <c r="AP62" s="68">
        <f>AP19-AP23-AP58</f>
        <v>398073.82153846161</v>
      </c>
      <c r="AQ62" s="68"/>
      <c r="AR62" s="68"/>
      <c r="AS62" s="57">
        <f>-AN32</f>
        <v>0</v>
      </c>
      <c r="AT62" s="57">
        <f>-AO32</f>
        <v>-300000</v>
      </c>
      <c r="AU62" s="57">
        <f>-AP32</f>
        <v>-325000</v>
      </c>
    </row>
    <row r="63" spans="1:47" s="3" customFormat="1" ht="31.5" customHeight="1" x14ac:dyDescent="0.65">
      <c r="C63" s="246">
        <f>2034-C62</f>
        <v>858.01864102564105</v>
      </c>
      <c r="D63" s="246"/>
      <c r="E63" s="246">
        <f>C57+D57+E57</f>
        <v>24377.944076923075</v>
      </c>
      <c r="F63" s="246">
        <f>62292-E63</f>
        <v>37914.055923076929</v>
      </c>
      <c r="G63" s="246"/>
      <c r="H63" s="246"/>
      <c r="I63" s="246"/>
      <c r="J63" s="246"/>
      <c r="K63" s="139"/>
      <c r="L63" s="246"/>
      <c r="M63" s="246"/>
      <c r="N63" s="139"/>
      <c r="O63" s="246"/>
      <c r="P63" s="246"/>
      <c r="Q63" s="139"/>
      <c r="R63" s="246"/>
      <c r="S63" s="246"/>
      <c r="T63" s="246"/>
      <c r="U63" s="246"/>
      <c r="V63" s="246"/>
      <c r="W63" s="246"/>
      <c r="X63" s="246"/>
      <c r="Y63" s="246"/>
      <c r="Z63" s="246"/>
      <c r="AA63" s="246" t="s">
        <v>56</v>
      </c>
      <c r="AB63" s="248">
        <f>-AC63</f>
        <v>-17139</v>
      </c>
      <c r="AC63" s="247">
        <v>17139</v>
      </c>
      <c r="AD63" s="315"/>
      <c r="AE63" s="316">
        <f>E63+C77</f>
        <v>30857.944076923075</v>
      </c>
      <c r="AF63" s="316"/>
      <c r="AG63" s="317"/>
      <c r="AH63" s="246"/>
      <c r="AI63" s="246"/>
      <c r="AJ63" s="246"/>
      <c r="AK63" s="246"/>
      <c r="AL63" s="246"/>
      <c r="AM63" s="288"/>
      <c r="AN63" s="68">
        <f>AN19/AN62</f>
        <v>4.0347427105408684</v>
      </c>
      <c r="AO63" s="68">
        <f>-AO19/AO62</f>
        <v>-3.0408101488758623</v>
      </c>
      <c r="AP63" s="68">
        <f>AP19/AP62</f>
        <v>2.5045605765956416</v>
      </c>
      <c r="AQ63" s="68"/>
      <c r="AR63" s="68"/>
      <c r="AS63" s="57">
        <f>-AN34</f>
        <v>-33000</v>
      </c>
      <c r="AT63" s="57">
        <f>-AO34</f>
        <v>-41000</v>
      </c>
      <c r="AU63" s="57">
        <f>-AP34</f>
        <v>-62000</v>
      </c>
    </row>
    <row r="64" spans="1:47" s="61" customFormat="1" ht="34.5" customHeight="1" thickBot="1" x14ac:dyDescent="0.55000000000000004">
      <c r="A64" s="1" t="s">
        <v>57</v>
      </c>
      <c r="B64" s="3"/>
      <c r="C64" s="318"/>
      <c r="D64" s="318"/>
      <c r="E64" s="318"/>
      <c r="F64" s="318"/>
      <c r="G64" s="319"/>
      <c r="H64" s="320"/>
      <c r="I64" s="318"/>
      <c r="J64" s="318"/>
      <c r="K64" s="163"/>
      <c r="L64" s="318"/>
      <c r="M64" s="319"/>
      <c r="N64" s="373"/>
      <c r="O64" s="318"/>
      <c r="P64" s="318"/>
      <c r="Q64" s="163"/>
      <c r="R64" s="318"/>
      <c r="S64" s="318"/>
      <c r="T64" s="318"/>
      <c r="U64" s="318"/>
      <c r="V64" s="318"/>
      <c r="W64" s="318"/>
      <c r="X64" s="318"/>
      <c r="Y64" s="318"/>
      <c r="Z64" s="318"/>
      <c r="AA64" s="318"/>
      <c r="AB64" s="318"/>
      <c r="AC64" s="318"/>
      <c r="AD64" s="318"/>
      <c r="AE64" s="318"/>
      <c r="AF64" s="318"/>
      <c r="AG64" s="318"/>
      <c r="AH64" s="318"/>
      <c r="AI64" s="318"/>
      <c r="AJ64" s="318"/>
      <c r="AK64" s="318"/>
      <c r="AL64" s="318"/>
      <c r="AM64" s="321"/>
      <c r="AN64" s="322">
        <f>AN35+AN31+AN37+AN38+AN39+AN40+AN41+AN42+AN43+AN45+AN46+AN47+AN48+AN49+AN50+AN51+AN52+AN53+AN54+AN56+AN57</f>
        <v>17492.545538461538</v>
      </c>
      <c r="AO64" s="322">
        <f>AO35+AO31+AO37+AO38+AO39+AO40+AO41+AO42+AO43+AO45+AO46+AO47+AO48+AO49+AO50+AO51+AO52+AO53+AO54+AO56+AO57</f>
        <v>35660.615384615383</v>
      </c>
      <c r="AP64" s="322">
        <f>AP35+AP31+AP37+AP38+AP39+AP40+AP41+AP42+AP43+AP45+AP46+AP47+AP48+AP49+AP50+AP51+AP52+AP53+AP54+AP56+AP57</f>
        <v>44822.153846153851</v>
      </c>
      <c r="AQ64" s="323"/>
      <c r="AR64" s="323"/>
      <c r="AS64" s="324">
        <f>SUM(AS59:AS63)</f>
        <v>37281.454461538466</v>
      </c>
      <c r="AT64" s="63">
        <f>SUM(AT59:AT63)</f>
        <v>253339.38461538462</v>
      </c>
      <c r="AU64" s="63">
        <f>SUM(AU59:AU63)</f>
        <v>411177.84615384613</v>
      </c>
    </row>
    <row r="65" spans="1:49" s="3" customFormat="1" ht="24" customHeight="1" thickTop="1" thickBot="1" x14ac:dyDescent="0.55000000000000004">
      <c r="A65" s="16" t="s">
        <v>58</v>
      </c>
      <c r="C65" s="264"/>
      <c r="D65" s="264"/>
      <c r="E65" s="264"/>
      <c r="F65" s="264"/>
      <c r="G65" s="264"/>
      <c r="H65" s="264"/>
      <c r="I65" s="264"/>
      <c r="J65" s="264"/>
      <c r="K65" s="104"/>
      <c r="L65" s="264"/>
      <c r="M65" s="264"/>
      <c r="N65" s="104"/>
      <c r="O65" s="264"/>
      <c r="P65" s="264"/>
      <c r="Q65" s="104"/>
      <c r="R65" s="264"/>
      <c r="S65" s="264"/>
      <c r="T65" s="264"/>
      <c r="U65" s="264"/>
      <c r="V65" s="246"/>
      <c r="W65" s="246"/>
      <c r="X65" s="246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5">
        <f t="shared" ref="AM65:AM76" si="79">SUM(C65:AL65)</f>
        <v>0</v>
      </c>
      <c r="AN65" s="323"/>
      <c r="AO65" s="323">
        <f>AN62-AO62</f>
        <v>-210724.85323076928</v>
      </c>
      <c r="AP65" s="323">
        <f>AO62-AP62</f>
        <v>-152086.74461538461</v>
      </c>
      <c r="AQ65" s="68"/>
      <c r="AR65" s="68"/>
      <c r="AS65" s="57">
        <f>-AN36</f>
        <v>0</v>
      </c>
      <c r="AT65" s="57">
        <f>-AO36</f>
        <v>-2160</v>
      </c>
      <c r="AU65" s="57">
        <f>-AP36</f>
        <v>-2160</v>
      </c>
    </row>
    <row r="66" spans="1:49" s="3" customFormat="1" ht="24" customHeight="1" thickTop="1" x14ac:dyDescent="0.5">
      <c r="A66" s="16" t="s">
        <v>59</v>
      </c>
      <c r="C66" s="264"/>
      <c r="D66" s="264"/>
      <c r="E66" s="264"/>
      <c r="F66" s="264"/>
      <c r="G66" s="264"/>
      <c r="H66" s="264"/>
      <c r="I66" s="264"/>
      <c r="J66" s="264"/>
      <c r="K66" s="104"/>
      <c r="L66" s="264"/>
      <c r="M66" s="264"/>
      <c r="N66" s="104"/>
      <c r="O66" s="264"/>
      <c r="P66" s="264"/>
      <c r="Q66" s="10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5">
        <f t="shared" si="79"/>
        <v>0</v>
      </c>
      <c r="AN66" s="308"/>
      <c r="AO66" s="68"/>
      <c r="AP66" s="68"/>
      <c r="AQ66" s="68"/>
      <c r="AR66" s="68"/>
      <c r="AS66" s="57">
        <f>-AN44</f>
        <v>-2019.2307692307688</v>
      </c>
      <c r="AT66" s="57">
        <f>-AO44</f>
        <v>-5192.3076923076924</v>
      </c>
      <c r="AU66" s="57">
        <f>-AP44</f>
        <v>-6923.0769230769247</v>
      </c>
    </row>
    <row r="67" spans="1:49" s="3" customFormat="1" ht="24" customHeight="1" thickBot="1" x14ac:dyDescent="0.55000000000000004">
      <c r="A67" s="16" t="s">
        <v>60</v>
      </c>
      <c r="B67" s="16"/>
      <c r="C67" s="264">
        <v>2970</v>
      </c>
      <c r="D67" s="264">
        <v>0</v>
      </c>
      <c r="E67" s="264">
        <v>0</v>
      </c>
      <c r="F67" s="264">
        <v>0</v>
      </c>
      <c r="G67" s="264">
        <v>0</v>
      </c>
      <c r="H67" s="264">
        <v>0</v>
      </c>
      <c r="I67" s="264">
        <v>0</v>
      </c>
      <c r="J67" s="264">
        <v>0</v>
      </c>
      <c r="K67" s="104">
        <v>0</v>
      </c>
      <c r="L67" s="264">
        <v>0</v>
      </c>
      <c r="M67" s="264">
        <v>0</v>
      </c>
      <c r="N67" s="104">
        <v>0</v>
      </c>
      <c r="O67" s="264">
        <v>0</v>
      </c>
      <c r="P67" s="264">
        <v>0</v>
      </c>
      <c r="Q67" s="104">
        <v>0</v>
      </c>
      <c r="R67" s="264">
        <v>0</v>
      </c>
      <c r="S67" s="264">
        <v>0</v>
      </c>
      <c r="T67" s="264">
        <v>0</v>
      </c>
      <c r="U67" s="264">
        <v>0</v>
      </c>
      <c r="V67" s="264">
        <v>0</v>
      </c>
      <c r="W67" s="264">
        <v>0</v>
      </c>
      <c r="X67" s="264">
        <v>0</v>
      </c>
      <c r="Y67" s="264">
        <v>0</v>
      </c>
      <c r="Z67" s="264">
        <v>0</v>
      </c>
      <c r="AA67" s="264">
        <v>0</v>
      </c>
      <c r="AB67" s="264">
        <v>0</v>
      </c>
      <c r="AC67" s="264">
        <v>0</v>
      </c>
      <c r="AD67" s="264">
        <v>0</v>
      </c>
      <c r="AE67" s="264">
        <v>0</v>
      </c>
      <c r="AF67" s="264">
        <v>0</v>
      </c>
      <c r="AG67" s="264">
        <v>0</v>
      </c>
      <c r="AH67" s="264">
        <v>0</v>
      </c>
      <c r="AI67" s="264">
        <v>0</v>
      </c>
      <c r="AJ67" s="264">
        <v>0</v>
      </c>
      <c r="AK67" s="264">
        <v>0</v>
      </c>
      <c r="AL67" s="264">
        <v>0</v>
      </c>
      <c r="AM67" s="265">
        <f t="shared" si="79"/>
        <v>2970</v>
      </c>
      <c r="AN67" s="308"/>
      <c r="AO67" s="68"/>
      <c r="AP67" s="68"/>
      <c r="AQ67" s="68"/>
      <c r="AR67" s="68"/>
      <c r="AS67" s="325">
        <f>SUM(AS64:AS66)</f>
        <v>35262.2236923077</v>
      </c>
      <c r="AT67" s="66">
        <f>SUM(AT64:AT66)</f>
        <v>245987.07692307694</v>
      </c>
      <c r="AU67" s="66">
        <f>SUM(AU64:AU66)</f>
        <v>402094.76923076919</v>
      </c>
    </row>
    <row r="68" spans="1:49" s="3" customFormat="1" ht="24" customHeight="1" thickTop="1" x14ac:dyDescent="0.5">
      <c r="A68" s="16" t="s">
        <v>61</v>
      </c>
      <c r="B68" s="16"/>
      <c r="C68" s="264">
        <f>380+1185</f>
        <v>1565</v>
      </c>
      <c r="D68" s="264">
        <v>0</v>
      </c>
      <c r="E68" s="264">
        <v>0</v>
      </c>
      <c r="F68" s="264">
        <v>0</v>
      </c>
      <c r="G68" s="264">
        <v>0</v>
      </c>
      <c r="H68" s="264">
        <v>0</v>
      </c>
      <c r="I68" s="264">
        <v>0</v>
      </c>
      <c r="J68" s="264">
        <v>0</v>
      </c>
      <c r="K68" s="104">
        <v>0</v>
      </c>
      <c r="L68" s="264">
        <v>0</v>
      </c>
      <c r="M68" s="264">
        <v>0</v>
      </c>
      <c r="N68" s="104">
        <v>0</v>
      </c>
      <c r="O68" s="264">
        <v>0</v>
      </c>
      <c r="P68" s="264">
        <v>0</v>
      </c>
      <c r="Q68" s="104">
        <v>0</v>
      </c>
      <c r="R68" s="264">
        <v>0</v>
      </c>
      <c r="S68" s="264">
        <v>0</v>
      </c>
      <c r="T68" s="264">
        <v>0</v>
      </c>
      <c r="U68" s="264">
        <v>0</v>
      </c>
      <c r="V68" s="264">
        <v>0</v>
      </c>
      <c r="W68" s="264">
        <v>0</v>
      </c>
      <c r="X68" s="264">
        <v>0</v>
      </c>
      <c r="Y68" s="264">
        <v>0</v>
      </c>
      <c r="Z68" s="264">
        <v>0</v>
      </c>
      <c r="AA68" s="264">
        <v>0</v>
      </c>
      <c r="AB68" s="264">
        <v>0</v>
      </c>
      <c r="AC68" s="264">
        <v>0</v>
      </c>
      <c r="AD68" s="264">
        <v>0</v>
      </c>
      <c r="AE68" s="264">
        <v>0</v>
      </c>
      <c r="AF68" s="264">
        <v>0</v>
      </c>
      <c r="AG68" s="264">
        <v>0</v>
      </c>
      <c r="AH68" s="264">
        <v>0</v>
      </c>
      <c r="AI68" s="264">
        <v>0</v>
      </c>
      <c r="AJ68" s="264">
        <v>0</v>
      </c>
      <c r="AK68" s="264">
        <v>0</v>
      </c>
      <c r="AL68" s="264">
        <v>0</v>
      </c>
      <c r="AM68" s="265">
        <f t="shared" si="79"/>
        <v>1565</v>
      </c>
      <c r="AN68" s="308"/>
      <c r="AO68" s="68"/>
      <c r="AP68" s="68"/>
      <c r="AQ68" s="68"/>
      <c r="AR68" s="68"/>
      <c r="AS68" s="68"/>
      <c r="AT68" s="68"/>
      <c r="AU68" s="68"/>
    </row>
    <row r="69" spans="1:49" s="3" customFormat="1" ht="24" customHeight="1" thickBot="1" x14ac:dyDescent="0.55000000000000004">
      <c r="A69" s="16" t="s">
        <v>62</v>
      </c>
      <c r="B69" s="16"/>
      <c r="C69" s="264">
        <v>1945</v>
      </c>
      <c r="D69" s="264">
        <v>0</v>
      </c>
      <c r="E69" s="264">
        <v>0</v>
      </c>
      <c r="F69" s="264">
        <v>0</v>
      </c>
      <c r="G69" s="264">
        <v>0</v>
      </c>
      <c r="H69" s="264">
        <v>0</v>
      </c>
      <c r="I69" s="264">
        <v>0</v>
      </c>
      <c r="J69" s="264">
        <v>0</v>
      </c>
      <c r="K69" s="104">
        <v>0</v>
      </c>
      <c r="L69" s="264">
        <v>0</v>
      </c>
      <c r="M69" s="264">
        <v>0</v>
      </c>
      <c r="N69" s="104">
        <v>0</v>
      </c>
      <c r="O69" s="264">
        <v>0</v>
      </c>
      <c r="P69" s="264">
        <v>0</v>
      </c>
      <c r="Q69" s="104">
        <v>0</v>
      </c>
      <c r="R69" s="264">
        <v>0</v>
      </c>
      <c r="S69" s="264">
        <v>0</v>
      </c>
      <c r="T69" s="264">
        <v>0</v>
      </c>
      <c r="U69" s="264">
        <v>0</v>
      </c>
      <c r="V69" s="264">
        <v>0</v>
      </c>
      <c r="W69" s="264">
        <v>0</v>
      </c>
      <c r="X69" s="264">
        <v>0</v>
      </c>
      <c r="Y69" s="264">
        <v>0</v>
      </c>
      <c r="Z69" s="264">
        <v>0</v>
      </c>
      <c r="AA69" s="264">
        <v>0</v>
      </c>
      <c r="AB69" s="264">
        <v>0</v>
      </c>
      <c r="AC69" s="264">
        <v>0</v>
      </c>
      <c r="AD69" s="264">
        <v>0</v>
      </c>
      <c r="AE69" s="264">
        <v>0</v>
      </c>
      <c r="AF69" s="264">
        <v>0</v>
      </c>
      <c r="AG69" s="264">
        <v>0</v>
      </c>
      <c r="AH69" s="264">
        <v>0</v>
      </c>
      <c r="AI69" s="264">
        <v>0</v>
      </c>
      <c r="AJ69" s="264">
        <v>0</v>
      </c>
      <c r="AK69" s="264">
        <v>0</v>
      </c>
      <c r="AL69" s="264">
        <v>0</v>
      </c>
      <c r="AM69" s="265">
        <f t="shared" si="79"/>
        <v>1945</v>
      </c>
      <c r="AN69" s="308"/>
      <c r="AO69" s="68"/>
      <c r="AP69" s="68"/>
      <c r="AQ69" s="68"/>
      <c r="AR69" s="68"/>
      <c r="AS69" s="325">
        <f>SUM(AS67:AS68)</f>
        <v>35262.2236923077</v>
      </c>
      <c r="AT69" s="66">
        <f t="shared" ref="AT69:AU69" si="80">SUM(AT67:AT68)</f>
        <v>245987.07692307694</v>
      </c>
      <c r="AU69" s="66">
        <f t="shared" si="80"/>
        <v>402094.76923076919</v>
      </c>
    </row>
    <row r="70" spans="1:49" s="3" customFormat="1" ht="24" customHeight="1" thickTop="1" x14ac:dyDescent="0.5">
      <c r="A70" s="16" t="s">
        <v>63</v>
      </c>
      <c r="B70" s="16"/>
      <c r="C70" s="264">
        <v>0</v>
      </c>
      <c r="D70" s="264">
        <v>0</v>
      </c>
      <c r="E70" s="264">
        <v>0</v>
      </c>
      <c r="F70" s="264">
        <v>0</v>
      </c>
      <c r="G70" s="264">
        <v>0</v>
      </c>
      <c r="H70" s="264">
        <v>0</v>
      </c>
      <c r="I70" s="264">
        <v>0</v>
      </c>
      <c r="J70" s="264">
        <v>0</v>
      </c>
      <c r="K70" s="104">
        <v>0</v>
      </c>
      <c r="L70" s="264">
        <v>0</v>
      </c>
      <c r="M70" s="264">
        <v>0</v>
      </c>
      <c r="N70" s="104">
        <v>0</v>
      </c>
      <c r="O70" s="264">
        <v>0</v>
      </c>
      <c r="P70" s="264">
        <v>0</v>
      </c>
      <c r="Q70" s="104">
        <v>0</v>
      </c>
      <c r="R70" s="264">
        <v>0</v>
      </c>
      <c r="S70" s="264">
        <v>0</v>
      </c>
      <c r="T70" s="264">
        <v>0</v>
      </c>
      <c r="U70" s="264">
        <v>0</v>
      </c>
      <c r="V70" s="264">
        <v>0</v>
      </c>
      <c r="W70" s="264">
        <v>0</v>
      </c>
      <c r="X70" s="264">
        <v>0</v>
      </c>
      <c r="Y70" s="264">
        <v>0</v>
      </c>
      <c r="Z70" s="264">
        <v>0</v>
      </c>
      <c r="AA70" s="264">
        <v>0</v>
      </c>
      <c r="AB70" s="264">
        <v>0</v>
      </c>
      <c r="AC70" s="264">
        <v>0</v>
      </c>
      <c r="AD70" s="264">
        <v>0</v>
      </c>
      <c r="AE70" s="264">
        <v>0</v>
      </c>
      <c r="AF70" s="264">
        <v>0</v>
      </c>
      <c r="AG70" s="264">
        <v>0</v>
      </c>
      <c r="AH70" s="264">
        <v>0</v>
      </c>
      <c r="AI70" s="264">
        <v>0</v>
      </c>
      <c r="AJ70" s="264">
        <v>0</v>
      </c>
      <c r="AK70" s="264">
        <v>0</v>
      </c>
      <c r="AL70" s="264">
        <v>0</v>
      </c>
      <c r="AM70" s="265">
        <f t="shared" si="79"/>
        <v>0</v>
      </c>
      <c r="AN70" s="326">
        <f>AM77+AD63</f>
        <v>6480</v>
      </c>
      <c r="AO70" s="68"/>
      <c r="AP70" s="68"/>
      <c r="AQ70" s="68"/>
      <c r="AR70" s="68" t="s">
        <v>64</v>
      </c>
      <c r="AS70" s="69">
        <v>0</v>
      </c>
      <c r="AT70" s="69">
        <v>0</v>
      </c>
      <c r="AU70" s="57">
        <f>-AP55</f>
        <v>-4020.9476923076927</v>
      </c>
    </row>
    <row r="71" spans="1:49" s="3" customFormat="1" ht="24" customHeight="1" x14ac:dyDescent="0.5">
      <c r="A71" s="16" t="s">
        <v>65</v>
      </c>
      <c r="B71" s="16"/>
      <c r="C71" s="264">
        <v>0</v>
      </c>
      <c r="D71" s="264">
        <v>0</v>
      </c>
      <c r="E71" s="264">
        <v>0</v>
      </c>
      <c r="F71" s="264">
        <v>0</v>
      </c>
      <c r="G71" s="264">
        <v>0</v>
      </c>
      <c r="H71" s="264">
        <v>0</v>
      </c>
      <c r="I71" s="264">
        <v>0</v>
      </c>
      <c r="J71" s="264">
        <v>0</v>
      </c>
      <c r="K71" s="104">
        <v>0</v>
      </c>
      <c r="L71" s="264">
        <v>0</v>
      </c>
      <c r="M71" s="264">
        <v>0</v>
      </c>
      <c r="N71" s="104">
        <v>0</v>
      </c>
      <c r="O71" s="264">
        <v>0</v>
      </c>
      <c r="P71" s="264">
        <v>0</v>
      </c>
      <c r="Q71" s="104">
        <v>0</v>
      </c>
      <c r="R71" s="264">
        <v>0</v>
      </c>
      <c r="S71" s="264">
        <v>0</v>
      </c>
      <c r="T71" s="264">
        <v>0</v>
      </c>
      <c r="U71" s="264">
        <v>0</v>
      </c>
      <c r="V71" s="264">
        <v>0</v>
      </c>
      <c r="W71" s="264">
        <v>0</v>
      </c>
      <c r="X71" s="264">
        <v>0</v>
      </c>
      <c r="Y71" s="264">
        <v>0</v>
      </c>
      <c r="Z71" s="264">
        <v>0</v>
      </c>
      <c r="AA71" s="264">
        <v>0</v>
      </c>
      <c r="AB71" s="264">
        <v>0</v>
      </c>
      <c r="AC71" s="264">
        <v>0</v>
      </c>
      <c r="AD71" s="264">
        <v>0</v>
      </c>
      <c r="AE71" s="264">
        <v>0</v>
      </c>
      <c r="AF71" s="264">
        <v>0</v>
      </c>
      <c r="AG71" s="264">
        <v>0</v>
      </c>
      <c r="AH71" s="264">
        <v>0</v>
      </c>
      <c r="AI71" s="264">
        <v>0</v>
      </c>
      <c r="AJ71" s="264">
        <v>0</v>
      </c>
      <c r="AK71" s="264">
        <v>0</v>
      </c>
      <c r="AL71" s="264">
        <v>0</v>
      </c>
      <c r="AM71" s="265">
        <f t="shared" si="79"/>
        <v>0</v>
      </c>
      <c r="AN71" s="308"/>
      <c r="AO71" s="68"/>
      <c r="AP71" s="68"/>
      <c r="AQ71" s="68"/>
      <c r="AR71" s="68"/>
      <c r="AS71" s="70">
        <f>SUM(AS69:AS70)</f>
        <v>35262.2236923077</v>
      </c>
      <c r="AT71" s="71">
        <f t="shared" ref="AT71" si="81">SUM(AT69:AT70)</f>
        <v>245987.07692307694</v>
      </c>
      <c r="AU71" s="71">
        <f>SUM(AU69:AU70)</f>
        <v>398073.82153846149</v>
      </c>
      <c r="AW71" s="72">
        <f>SUM(AS71:AU71)</f>
        <v>679323.12215384608</v>
      </c>
    </row>
    <row r="72" spans="1:49" s="3" customFormat="1" ht="24" customHeight="1" x14ac:dyDescent="0.5">
      <c r="A72" s="16" t="s">
        <v>66</v>
      </c>
      <c r="B72" s="16"/>
      <c r="C72" s="264">
        <v>0</v>
      </c>
      <c r="D72" s="264">
        <v>0</v>
      </c>
      <c r="E72" s="264">
        <v>0</v>
      </c>
      <c r="F72" s="264">
        <v>0</v>
      </c>
      <c r="G72" s="264">
        <v>0</v>
      </c>
      <c r="H72" s="264">
        <v>0</v>
      </c>
      <c r="I72" s="264">
        <v>0</v>
      </c>
      <c r="J72" s="264">
        <v>0</v>
      </c>
      <c r="K72" s="104">
        <v>0</v>
      </c>
      <c r="L72" s="264">
        <v>0</v>
      </c>
      <c r="M72" s="264">
        <v>0</v>
      </c>
      <c r="N72" s="104">
        <v>0</v>
      </c>
      <c r="O72" s="264">
        <v>0</v>
      </c>
      <c r="P72" s="264">
        <v>0</v>
      </c>
      <c r="Q72" s="104">
        <v>0</v>
      </c>
      <c r="R72" s="264">
        <v>0</v>
      </c>
      <c r="S72" s="264">
        <v>0</v>
      </c>
      <c r="T72" s="264">
        <v>0</v>
      </c>
      <c r="U72" s="264">
        <v>0</v>
      </c>
      <c r="V72" s="264">
        <v>0</v>
      </c>
      <c r="W72" s="264">
        <v>0</v>
      </c>
      <c r="X72" s="264">
        <v>0</v>
      </c>
      <c r="Y72" s="264">
        <v>0</v>
      </c>
      <c r="Z72" s="264">
        <v>0</v>
      </c>
      <c r="AA72" s="264">
        <v>0</v>
      </c>
      <c r="AB72" s="264">
        <v>0</v>
      </c>
      <c r="AC72" s="264">
        <v>0</v>
      </c>
      <c r="AD72" s="264">
        <v>0</v>
      </c>
      <c r="AE72" s="264">
        <v>0</v>
      </c>
      <c r="AF72" s="264">
        <v>0</v>
      </c>
      <c r="AG72" s="264">
        <v>0</v>
      </c>
      <c r="AH72" s="264">
        <v>0</v>
      </c>
      <c r="AI72" s="264">
        <v>0</v>
      </c>
      <c r="AJ72" s="264">
        <v>0</v>
      </c>
      <c r="AK72" s="264">
        <v>0</v>
      </c>
      <c r="AL72" s="264">
        <v>0</v>
      </c>
      <c r="AM72" s="265">
        <f t="shared" si="79"/>
        <v>0</v>
      </c>
      <c r="AN72" s="308"/>
      <c r="AO72" s="68"/>
      <c r="AP72" s="68"/>
      <c r="AQ72" s="68"/>
      <c r="AR72" s="68"/>
      <c r="AS72" s="68">
        <f>AS71-AN62</f>
        <v>0</v>
      </c>
      <c r="AT72" s="68">
        <f>AT71-AO62</f>
        <v>0</v>
      </c>
      <c r="AU72" s="68">
        <f>AU71-AP62</f>
        <v>0</v>
      </c>
      <c r="AV72" s="73">
        <f>AU71-AT71</f>
        <v>152086.74461538455</v>
      </c>
    </row>
    <row r="73" spans="1:49" s="3" customFormat="1" ht="24" customHeight="1" x14ac:dyDescent="0.5">
      <c r="A73" s="16" t="s">
        <v>67</v>
      </c>
      <c r="B73" s="16"/>
      <c r="C73" s="264">
        <v>0</v>
      </c>
      <c r="D73" s="264">
        <v>0</v>
      </c>
      <c r="E73" s="264">
        <v>0</v>
      </c>
      <c r="F73" s="264">
        <v>0</v>
      </c>
      <c r="G73" s="264">
        <v>0</v>
      </c>
      <c r="H73" s="264">
        <v>0</v>
      </c>
      <c r="I73" s="264">
        <v>0</v>
      </c>
      <c r="J73" s="264">
        <v>0</v>
      </c>
      <c r="K73" s="104">
        <v>0</v>
      </c>
      <c r="L73" s="264">
        <v>0</v>
      </c>
      <c r="M73" s="264">
        <v>0</v>
      </c>
      <c r="N73" s="104">
        <v>0</v>
      </c>
      <c r="O73" s="264">
        <v>0</v>
      </c>
      <c r="P73" s="264">
        <v>0</v>
      </c>
      <c r="Q73" s="104">
        <v>0</v>
      </c>
      <c r="R73" s="264">
        <v>0</v>
      </c>
      <c r="S73" s="264">
        <v>0</v>
      </c>
      <c r="T73" s="264">
        <v>0</v>
      </c>
      <c r="U73" s="264">
        <v>0</v>
      </c>
      <c r="V73" s="264">
        <v>0</v>
      </c>
      <c r="W73" s="264">
        <v>0</v>
      </c>
      <c r="X73" s="264">
        <v>0</v>
      </c>
      <c r="Y73" s="264">
        <v>0</v>
      </c>
      <c r="Z73" s="264">
        <v>0</v>
      </c>
      <c r="AA73" s="264">
        <v>0</v>
      </c>
      <c r="AB73" s="264">
        <v>0</v>
      </c>
      <c r="AC73" s="264">
        <v>0</v>
      </c>
      <c r="AD73" s="264">
        <v>0</v>
      </c>
      <c r="AE73" s="264">
        <v>0</v>
      </c>
      <c r="AF73" s="264">
        <v>0</v>
      </c>
      <c r="AG73" s="264">
        <v>0</v>
      </c>
      <c r="AH73" s="264">
        <v>0</v>
      </c>
      <c r="AI73" s="264">
        <v>0</v>
      </c>
      <c r="AJ73" s="264">
        <v>0</v>
      </c>
      <c r="AK73" s="264">
        <v>0</v>
      </c>
      <c r="AL73" s="264">
        <v>0</v>
      </c>
      <c r="AM73" s="265">
        <f t="shared" si="79"/>
        <v>0</v>
      </c>
      <c r="AN73" s="308"/>
      <c r="AO73" s="68"/>
      <c r="AP73" s="68"/>
      <c r="AQ73" s="68"/>
      <c r="AR73" s="68"/>
      <c r="AS73" s="68">
        <f>AN19/AS71</f>
        <v>4.0347427105408684</v>
      </c>
      <c r="AT73" s="68">
        <f>AO19/AT71</f>
        <v>3.0408101488758632</v>
      </c>
      <c r="AU73" s="68">
        <f>AP19/AU71</f>
        <v>2.5045605765956425</v>
      </c>
      <c r="AV73" s="8"/>
    </row>
    <row r="74" spans="1:49" s="3" customFormat="1" ht="24" customHeight="1" x14ac:dyDescent="0.5">
      <c r="A74" s="16" t="s">
        <v>68</v>
      </c>
      <c r="B74" s="16"/>
      <c r="C74" s="264">
        <v>0</v>
      </c>
      <c r="D74" s="264">
        <v>0</v>
      </c>
      <c r="E74" s="264">
        <v>0</v>
      </c>
      <c r="F74" s="264">
        <v>0</v>
      </c>
      <c r="G74" s="264">
        <v>0</v>
      </c>
      <c r="H74" s="264">
        <v>0</v>
      </c>
      <c r="I74" s="264">
        <v>0</v>
      </c>
      <c r="J74" s="264">
        <v>0</v>
      </c>
      <c r="K74" s="104">
        <v>0</v>
      </c>
      <c r="L74" s="264">
        <v>0</v>
      </c>
      <c r="M74" s="264">
        <v>0</v>
      </c>
      <c r="N74" s="104">
        <v>0</v>
      </c>
      <c r="O74" s="264">
        <v>0</v>
      </c>
      <c r="P74" s="264">
        <v>0</v>
      </c>
      <c r="Q74" s="104">
        <v>0</v>
      </c>
      <c r="R74" s="264">
        <v>0</v>
      </c>
      <c r="S74" s="264">
        <v>0</v>
      </c>
      <c r="T74" s="264">
        <v>0</v>
      </c>
      <c r="U74" s="264">
        <v>0</v>
      </c>
      <c r="V74" s="264">
        <v>0</v>
      </c>
      <c r="W74" s="264">
        <v>0</v>
      </c>
      <c r="X74" s="264">
        <v>0</v>
      </c>
      <c r="Y74" s="264">
        <v>0</v>
      </c>
      <c r="Z74" s="264">
        <v>0</v>
      </c>
      <c r="AA74" s="264">
        <v>0</v>
      </c>
      <c r="AB74" s="264">
        <v>0</v>
      </c>
      <c r="AC74" s="264">
        <v>0</v>
      </c>
      <c r="AD74" s="264">
        <v>0</v>
      </c>
      <c r="AE74" s="264">
        <v>0</v>
      </c>
      <c r="AF74" s="264">
        <v>0</v>
      </c>
      <c r="AG74" s="264">
        <v>0</v>
      </c>
      <c r="AH74" s="264">
        <v>0</v>
      </c>
      <c r="AI74" s="264">
        <v>0</v>
      </c>
      <c r="AJ74" s="264">
        <v>0</v>
      </c>
      <c r="AK74" s="264">
        <v>0</v>
      </c>
      <c r="AL74" s="264">
        <v>0</v>
      </c>
      <c r="AM74" s="265">
        <f t="shared" si="79"/>
        <v>0</v>
      </c>
      <c r="AN74" s="308"/>
      <c r="AO74" s="68"/>
      <c r="AP74" s="68"/>
      <c r="AQ74" s="68"/>
      <c r="AR74" s="68">
        <f>AS74-AT74</f>
        <v>397501.14676923078</v>
      </c>
      <c r="AS74" s="68">
        <f>AS60+AS61+AS62+AS63+AS65+AS66</f>
        <v>-94511.7763076923</v>
      </c>
      <c r="AT74" s="68">
        <f>AT60+AT61+AT62+AT63+AT65+AT66</f>
        <v>-492012.92307692306</v>
      </c>
      <c r="AU74" s="68">
        <f>AU60+AU61+AU62+AU63+AU65+AU66</f>
        <v>-584905.23076923075</v>
      </c>
      <c r="AV74" s="72">
        <f>AU74-AT74</f>
        <v>-92892.307692307688</v>
      </c>
    </row>
    <row r="75" spans="1:49" s="3" customFormat="1" ht="24" customHeight="1" x14ac:dyDescent="0.5">
      <c r="A75" s="16" t="s">
        <v>69</v>
      </c>
      <c r="B75" s="16"/>
      <c r="C75" s="264">
        <v>0</v>
      </c>
      <c r="D75" s="264">
        <v>0</v>
      </c>
      <c r="E75" s="264">
        <v>0</v>
      </c>
      <c r="F75" s="264">
        <v>0</v>
      </c>
      <c r="G75" s="264">
        <v>0</v>
      </c>
      <c r="H75" s="264">
        <v>0</v>
      </c>
      <c r="I75" s="264">
        <v>0</v>
      </c>
      <c r="J75" s="264">
        <v>0</v>
      </c>
      <c r="K75" s="104">
        <v>0</v>
      </c>
      <c r="L75" s="264">
        <v>0</v>
      </c>
      <c r="M75" s="264">
        <v>0</v>
      </c>
      <c r="N75" s="104">
        <v>0</v>
      </c>
      <c r="O75" s="264">
        <v>0</v>
      </c>
      <c r="P75" s="264">
        <v>0</v>
      </c>
      <c r="Q75" s="104">
        <v>0</v>
      </c>
      <c r="R75" s="264">
        <v>0</v>
      </c>
      <c r="S75" s="264">
        <v>0</v>
      </c>
      <c r="T75" s="264">
        <v>0</v>
      </c>
      <c r="U75" s="264">
        <v>0</v>
      </c>
      <c r="V75" s="264">
        <v>0</v>
      </c>
      <c r="W75" s="264">
        <v>0</v>
      </c>
      <c r="X75" s="264">
        <v>0</v>
      </c>
      <c r="Y75" s="264">
        <v>0</v>
      </c>
      <c r="Z75" s="264">
        <v>0</v>
      </c>
      <c r="AA75" s="264">
        <v>0</v>
      </c>
      <c r="AB75" s="264">
        <v>0</v>
      </c>
      <c r="AC75" s="264">
        <v>0</v>
      </c>
      <c r="AD75" s="264">
        <v>0</v>
      </c>
      <c r="AE75" s="264">
        <v>0</v>
      </c>
      <c r="AF75" s="264">
        <v>0</v>
      </c>
      <c r="AG75" s="264">
        <v>0</v>
      </c>
      <c r="AH75" s="264">
        <v>0</v>
      </c>
      <c r="AI75" s="264">
        <v>0</v>
      </c>
      <c r="AJ75" s="264">
        <v>0</v>
      </c>
      <c r="AK75" s="264">
        <v>0</v>
      </c>
      <c r="AL75" s="264">
        <v>0</v>
      </c>
      <c r="AM75" s="265">
        <f t="shared" si="79"/>
        <v>0</v>
      </c>
      <c r="AN75" s="308"/>
      <c r="AO75" s="68"/>
      <c r="AP75" s="68"/>
      <c r="AQ75" s="68"/>
      <c r="AR75" s="68"/>
      <c r="AS75" s="68">
        <f>AS58+AS60+AS61+AS62+AS63+AS65+AS66</f>
        <v>-107011.7763076923</v>
      </c>
      <c r="AT75" s="68">
        <f>AT58+AT60+AT61+AT62+AT63+AT65+AT66</f>
        <v>-502012.92307692306</v>
      </c>
      <c r="AU75" s="68">
        <f>AU58+AU60+AU61+AU62+AU63+AU65+AU66</f>
        <v>-594905.23076923075</v>
      </c>
    </row>
    <row r="76" spans="1:49" s="3" customFormat="1" ht="24" customHeight="1" x14ac:dyDescent="0.5">
      <c r="A76" s="16" t="s">
        <v>70</v>
      </c>
      <c r="B76" s="16"/>
      <c r="C76" s="264">
        <v>0</v>
      </c>
      <c r="D76" s="264">
        <v>0</v>
      </c>
      <c r="E76" s="264">
        <v>0</v>
      </c>
      <c r="F76" s="264">
        <v>0</v>
      </c>
      <c r="G76" s="264">
        <v>0</v>
      </c>
      <c r="H76" s="264">
        <v>0</v>
      </c>
      <c r="I76" s="264">
        <v>0</v>
      </c>
      <c r="J76" s="264">
        <v>0</v>
      </c>
      <c r="K76" s="104">
        <v>0</v>
      </c>
      <c r="L76" s="264">
        <v>0</v>
      </c>
      <c r="M76" s="264">
        <v>0</v>
      </c>
      <c r="N76" s="104">
        <v>0</v>
      </c>
      <c r="O76" s="264">
        <v>0</v>
      </c>
      <c r="P76" s="264">
        <v>0</v>
      </c>
      <c r="Q76" s="104">
        <v>0</v>
      </c>
      <c r="R76" s="264">
        <v>0</v>
      </c>
      <c r="S76" s="264">
        <v>0</v>
      </c>
      <c r="T76" s="264">
        <v>0</v>
      </c>
      <c r="U76" s="264">
        <v>0</v>
      </c>
      <c r="V76" s="264">
        <v>0</v>
      </c>
      <c r="W76" s="264">
        <v>0</v>
      </c>
      <c r="X76" s="264">
        <v>0</v>
      </c>
      <c r="Y76" s="264">
        <v>0</v>
      </c>
      <c r="Z76" s="264">
        <v>0</v>
      </c>
      <c r="AA76" s="264">
        <v>0</v>
      </c>
      <c r="AB76" s="264">
        <v>0</v>
      </c>
      <c r="AC76" s="264">
        <v>0</v>
      </c>
      <c r="AD76" s="264">
        <v>0</v>
      </c>
      <c r="AE76" s="264">
        <v>0</v>
      </c>
      <c r="AF76" s="264">
        <v>0</v>
      </c>
      <c r="AG76" s="264">
        <v>0</v>
      </c>
      <c r="AH76" s="264">
        <v>0</v>
      </c>
      <c r="AI76" s="264">
        <v>0</v>
      </c>
      <c r="AJ76" s="264">
        <v>0</v>
      </c>
      <c r="AK76" s="264">
        <v>0</v>
      </c>
      <c r="AL76" s="264">
        <v>0</v>
      </c>
      <c r="AM76" s="265">
        <f t="shared" si="79"/>
        <v>0</v>
      </c>
      <c r="AN76" s="308"/>
      <c r="AO76" s="68"/>
      <c r="AP76" s="68"/>
      <c r="AQ76" s="68"/>
      <c r="AR76" s="68"/>
      <c r="AS76" s="68"/>
      <c r="AT76" s="68">
        <f>AT75-AS75</f>
        <v>-395001.14676923078</v>
      </c>
      <c r="AU76" s="68">
        <f>AU75-AT75</f>
        <v>-92892.307692307688</v>
      </c>
    </row>
    <row r="77" spans="1:49" s="3" customFormat="1" ht="24" customHeight="1" thickBot="1" x14ac:dyDescent="0.55000000000000004">
      <c r="A77" s="61" t="s">
        <v>71</v>
      </c>
      <c r="B77" s="61"/>
      <c r="C77" s="291">
        <f>SUM(C67:C76)</f>
        <v>6480</v>
      </c>
      <c r="D77" s="291">
        <f t="shared" ref="D77:AL77" si="82">SUM(D67:D76)</f>
        <v>0</v>
      </c>
      <c r="E77" s="291">
        <f t="shared" si="82"/>
        <v>0</v>
      </c>
      <c r="F77" s="291">
        <f t="shared" si="82"/>
        <v>0</v>
      </c>
      <c r="G77" s="291">
        <f t="shared" si="82"/>
        <v>0</v>
      </c>
      <c r="H77" s="291">
        <f t="shared" si="82"/>
        <v>0</v>
      </c>
      <c r="I77" s="291">
        <f t="shared" si="82"/>
        <v>0</v>
      </c>
      <c r="J77" s="291">
        <f t="shared" si="82"/>
        <v>0</v>
      </c>
      <c r="K77" s="133">
        <f t="shared" si="82"/>
        <v>0</v>
      </c>
      <c r="L77" s="291">
        <f t="shared" si="82"/>
        <v>0</v>
      </c>
      <c r="M77" s="291">
        <f t="shared" si="82"/>
        <v>0</v>
      </c>
      <c r="N77" s="133">
        <f t="shared" si="82"/>
        <v>0</v>
      </c>
      <c r="O77" s="291">
        <f t="shared" si="82"/>
        <v>0</v>
      </c>
      <c r="P77" s="291">
        <f t="shared" si="82"/>
        <v>0</v>
      </c>
      <c r="Q77" s="133">
        <f t="shared" si="82"/>
        <v>0</v>
      </c>
      <c r="R77" s="291">
        <f t="shared" si="82"/>
        <v>0</v>
      </c>
      <c r="S77" s="291">
        <f t="shared" si="82"/>
        <v>0</v>
      </c>
      <c r="T77" s="291">
        <f t="shared" si="82"/>
        <v>0</v>
      </c>
      <c r="U77" s="291">
        <f t="shared" si="82"/>
        <v>0</v>
      </c>
      <c r="V77" s="291">
        <f t="shared" si="82"/>
        <v>0</v>
      </c>
      <c r="W77" s="291">
        <f t="shared" si="82"/>
        <v>0</v>
      </c>
      <c r="X77" s="291">
        <f t="shared" si="82"/>
        <v>0</v>
      </c>
      <c r="Y77" s="291">
        <f t="shared" si="82"/>
        <v>0</v>
      </c>
      <c r="Z77" s="291">
        <f t="shared" si="82"/>
        <v>0</v>
      </c>
      <c r="AA77" s="291">
        <f t="shared" si="82"/>
        <v>0</v>
      </c>
      <c r="AB77" s="291">
        <f t="shared" si="82"/>
        <v>0</v>
      </c>
      <c r="AC77" s="291">
        <f t="shared" si="82"/>
        <v>0</v>
      </c>
      <c r="AD77" s="291">
        <f t="shared" si="82"/>
        <v>0</v>
      </c>
      <c r="AE77" s="291">
        <f t="shared" si="82"/>
        <v>0</v>
      </c>
      <c r="AF77" s="291">
        <f t="shared" si="82"/>
        <v>0</v>
      </c>
      <c r="AG77" s="291">
        <f t="shared" si="82"/>
        <v>0</v>
      </c>
      <c r="AH77" s="291">
        <f t="shared" si="82"/>
        <v>0</v>
      </c>
      <c r="AI77" s="291">
        <f t="shared" si="82"/>
        <v>0</v>
      </c>
      <c r="AJ77" s="291">
        <f t="shared" si="82"/>
        <v>0</v>
      </c>
      <c r="AK77" s="291">
        <f t="shared" si="82"/>
        <v>0</v>
      </c>
      <c r="AL77" s="291">
        <f t="shared" si="82"/>
        <v>0</v>
      </c>
      <c r="AM77" s="327">
        <f>SUM(AM65:AM73)</f>
        <v>6480</v>
      </c>
      <c r="AN77" s="308"/>
      <c r="AO77" s="68"/>
      <c r="AP77" s="68"/>
      <c r="AQ77" s="68"/>
      <c r="AR77" s="68"/>
      <c r="AS77" s="68"/>
      <c r="AT77" s="68">
        <f>AT71-AS71</f>
        <v>210724.85323076922</v>
      </c>
      <c r="AU77" s="68">
        <f>AU71-AT71</f>
        <v>152086.74461538455</v>
      </c>
    </row>
    <row r="78" spans="1:49" s="3" customFormat="1" ht="24" customHeight="1" thickTop="1" x14ac:dyDescent="0.45">
      <c r="C78" s="287"/>
      <c r="D78" s="287"/>
      <c r="E78" s="287"/>
      <c r="F78" s="287"/>
      <c r="G78" s="287"/>
      <c r="H78" s="287"/>
      <c r="I78" s="287"/>
      <c r="J78" s="287"/>
      <c r="K78" s="131"/>
      <c r="L78" s="287"/>
      <c r="M78" s="287"/>
      <c r="N78" s="131"/>
      <c r="O78" s="287"/>
      <c r="P78" s="287"/>
      <c r="Q78" s="131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8"/>
      <c r="AN78" s="308"/>
      <c r="AO78" s="68"/>
      <c r="AP78" s="68"/>
      <c r="AQ78" s="68"/>
      <c r="AR78" s="68"/>
      <c r="AS78" s="68"/>
      <c r="AT78" s="68">
        <f>AS71+AT71</f>
        <v>281249.30061538465</v>
      </c>
      <c r="AU78" s="68">
        <f>AT71+AU71</f>
        <v>644060.89846153837</v>
      </c>
    </row>
    <row r="79" spans="1:49" s="3" customFormat="1" ht="24" customHeight="1" x14ac:dyDescent="0.45">
      <c r="C79" s="287"/>
      <c r="D79" s="287"/>
      <c r="E79" s="287"/>
      <c r="F79" s="287"/>
      <c r="G79" s="287"/>
      <c r="H79" s="287"/>
      <c r="I79" s="287"/>
      <c r="J79" s="287"/>
      <c r="K79" s="131"/>
      <c r="L79" s="287"/>
      <c r="M79" s="287"/>
      <c r="N79" s="131"/>
      <c r="O79" s="287"/>
      <c r="P79" s="287"/>
      <c r="Q79" s="131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8"/>
      <c r="AN79" s="68"/>
      <c r="AO79" s="68"/>
      <c r="AP79" s="68"/>
      <c r="AQ79" s="68"/>
      <c r="AR79" s="68"/>
      <c r="AS79" s="68">
        <f>AS71/AS57</f>
        <v>0.24784727843673265</v>
      </c>
      <c r="AT79" s="68">
        <f>AT71/AT57</f>
        <v>0.32885972850678735</v>
      </c>
      <c r="AU79" s="68">
        <f>AU71/AU57</f>
        <v>0.39927163644780489</v>
      </c>
    </row>
    <row r="80" spans="1:49" s="3" customFormat="1" ht="24" customHeight="1" x14ac:dyDescent="0.45">
      <c r="C80" s="287"/>
      <c r="D80" s="287"/>
      <c r="E80" s="287"/>
      <c r="F80" s="287"/>
      <c r="G80" s="287"/>
      <c r="H80" s="287"/>
      <c r="I80" s="287"/>
      <c r="J80" s="287"/>
      <c r="K80" s="131"/>
      <c r="L80" s="287"/>
      <c r="M80" s="287"/>
      <c r="N80" s="131">
        <f>L83/O83-1</f>
        <v>-0.80979411764705889</v>
      </c>
      <c r="O80" s="287"/>
      <c r="P80" s="287"/>
      <c r="Q80" s="131">
        <f>O83/R83-1</f>
        <v>-0.24974924774322971</v>
      </c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  <c r="AH80" s="287"/>
      <c r="AI80" s="287"/>
      <c r="AJ80" s="287"/>
      <c r="AK80" s="287"/>
      <c r="AL80" s="287"/>
      <c r="AM80" s="288"/>
      <c r="AN80" s="68"/>
      <c r="AO80" s="68"/>
      <c r="AP80" s="68"/>
      <c r="AQ80" s="68"/>
      <c r="AR80" s="68"/>
      <c r="AS80" s="68"/>
      <c r="AT80" s="68"/>
      <c r="AU80" s="328" t="s">
        <v>72</v>
      </c>
    </row>
    <row r="81" spans="1:48" s="3" customFormat="1" ht="24" customHeight="1" x14ac:dyDescent="0.5">
      <c r="C81" s="287"/>
      <c r="D81" s="287"/>
      <c r="E81" s="287"/>
      <c r="F81" s="287"/>
      <c r="G81" s="287"/>
      <c r="H81" s="287"/>
      <c r="I81" s="287"/>
      <c r="J81" s="287"/>
      <c r="K81" s="131"/>
      <c r="L81" s="329" t="s">
        <v>73</v>
      </c>
      <c r="M81" s="330"/>
      <c r="N81" s="374" t="s">
        <v>74</v>
      </c>
      <c r="O81" s="287"/>
      <c r="P81" s="287"/>
      <c r="Q81" s="131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  <c r="AH81" s="287"/>
      <c r="AI81" s="287"/>
      <c r="AJ81" s="287"/>
      <c r="AK81" s="287"/>
      <c r="AL81" s="287"/>
      <c r="AM81" s="288"/>
      <c r="AN81" s="68"/>
      <c r="AO81" s="68"/>
      <c r="AP81" s="68"/>
      <c r="AQ81" s="68"/>
      <c r="AR81" s="68"/>
      <c r="AS81" s="68"/>
      <c r="AT81" s="68"/>
      <c r="AU81" s="328"/>
    </row>
    <row r="82" spans="1:48" s="3" customFormat="1" ht="34.5" customHeight="1" x14ac:dyDescent="0.45">
      <c r="C82" s="287"/>
      <c r="D82" s="287"/>
      <c r="E82" s="287"/>
      <c r="F82" s="287"/>
      <c r="G82" s="287"/>
      <c r="H82" s="287"/>
      <c r="I82" s="287"/>
      <c r="J82" s="287"/>
      <c r="K82" s="131"/>
      <c r="L82" s="131" t="s">
        <v>143</v>
      </c>
      <c r="M82" s="287"/>
      <c r="N82" s="131" t="s">
        <v>144</v>
      </c>
      <c r="O82" s="287"/>
      <c r="P82" s="287"/>
      <c r="Q82" s="374" t="s">
        <v>75</v>
      </c>
      <c r="R82" s="131" t="s">
        <v>145</v>
      </c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  <c r="AH82" s="287"/>
      <c r="AI82" s="287"/>
      <c r="AJ82" s="287"/>
      <c r="AK82" s="287"/>
      <c r="AL82" s="287"/>
      <c r="AM82" s="288"/>
      <c r="AN82" s="68"/>
      <c r="AO82" s="68"/>
      <c r="AP82" s="68"/>
      <c r="AQ82" s="68"/>
      <c r="AR82" s="68"/>
      <c r="AS82" s="68"/>
      <c r="AT82" s="68"/>
      <c r="AU82" s="328">
        <f>AU57</f>
        <v>997000</v>
      </c>
    </row>
    <row r="83" spans="1:48" s="3" customFormat="1" ht="34.5" customHeight="1" x14ac:dyDescent="0.45">
      <c r="C83" s="287"/>
      <c r="D83" s="287"/>
      <c r="E83" s="287"/>
      <c r="F83" s="287"/>
      <c r="G83" s="287"/>
      <c r="H83" s="287"/>
      <c r="I83" s="287"/>
      <c r="J83" s="287"/>
      <c r="K83" s="172" t="s">
        <v>76</v>
      </c>
      <c r="L83" s="331">
        <f>SUM(C18:N18)</f>
        <v>142274</v>
      </c>
      <c r="M83" s="287"/>
      <c r="N83" s="131" t="str">
        <f>K83</f>
        <v>sales</v>
      </c>
      <c r="O83" s="331">
        <f>SUM(O18:Z18)</f>
        <v>748000</v>
      </c>
      <c r="P83" s="287"/>
      <c r="Q83" s="131" t="str">
        <f>N83</f>
        <v>sales</v>
      </c>
      <c r="R83" s="331">
        <f>SUM(AA18:AL18)</f>
        <v>997000</v>
      </c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  <c r="AH83" s="287"/>
      <c r="AI83" s="287"/>
      <c r="AJ83" s="287"/>
      <c r="AK83" s="287"/>
      <c r="AL83" s="287"/>
      <c r="AM83" s="288"/>
      <c r="AN83" s="68"/>
      <c r="AO83" s="68"/>
      <c r="AP83" s="68"/>
      <c r="AQ83" s="68"/>
      <c r="AR83" s="68"/>
      <c r="AS83" s="68"/>
      <c r="AT83" s="68"/>
      <c r="AU83" s="328">
        <f>AU58+AU60+AU61+AU62+AU63+AU65+AU66</f>
        <v>-594905.23076923075</v>
      </c>
    </row>
    <row r="84" spans="1:48" s="3" customFormat="1" ht="34.5" customHeight="1" x14ac:dyDescent="0.45">
      <c r="C84" s="287"/>
      <c r="D84" s="287"/>
      <c r="E84" s="287"/>
      <c r="F84" s="287"/>
      <c r="G84" s="287"/>
      <c r="H84" s="287"/>
      <c r="I84" s="287"/>
      <c r="J84" s="287"/>
      <c r="K84" s="174" t="s">
        <v>77</v>
      </c>
      <c r="L84" s="332">
        <f>(SUM(C21:N21)+SUM(C22:N22))</f>
        <v>12500</v>
      </c>
      <c r="M84" s="287"/>
      <c r="N84" s="131" t="str">
        <f t="shared" ref="N84:N114" si="83">K84</f>
        <v>Cost of Sales</v>
      </c>
      <c r="O84" s="332">
        <f>(SUM(O21:Z21)+SUM(O22:Z22))</f>
        <v>10000</v>
      </c>
      <c r="P84" s="287"/>
      <c r="Q84" s="131" t="str">
        <f t="shared" ref="Q84:Q111" si="84">N84</f>
        <v>Cost of Sales</v>
      </c>
      <c r="R84" s="332">
        <f>(SUM(AA21:AL21)+SUM(AA22:AL22))</f>
        <v>10000</v>
      </c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  <c r="AH84" s="287"/>
      <c r="AI84" s="287"/>
      <c r="AJ84" s="287"/>
      <c r="AK84" s="287"/>
      <c r="AL84" s="287"/>
      <c r="AM84" s="288"/>
      <c r="AN84" s="68"/>
      <c r="AO84" s="68"/>
      <c r="AP84" s="68"/>
      <c r="AQ84" s="68"/>
      <c r="AR84" s="68"/>
      <c r="AS84" s="68"/>
      <c r="AT84" s="68"/>
      <c r="AU84" s="333">
        <f>AU82+AU83</f>
        <v>402094.76923076925</v>
      </c>
    </row>
    <row r="85" spans="1:48" s="3" customFormat="1" ht="34.5" customHeight="1" x14ac:dyDescent="0.45">
      <c r="C85" s="287"/>
      <c r="D85" s="287"/>
      <c r="E85" s="287"/>
      <c r="F85" s="287"/>
      <c r="G85" s="287"/>
      <c r="H85" s="287"/>
      <c r="I85" s="287"/>
      <c r="J85" s="287"/>
      <c r="K85" s="174" t="s">
        <v>78</v>
      </c>
      <c r="L85" s="332">
        <f>SUM(C28:N28)+SUM(C29:N29)+SUM(C43:N43)+SUM(C44:N44)</f>
        <v>48057.692307692305</v>
      </c>
      <c r="M85" s="287"/>
      <c r="N85" s="131" t="str">
        <f t="shared" si="83"/>
        <v>Staff Costs</v>
      </c>
      <c r="O85" s="332">
        <f>SUM(O28:Z28)+SUM(O29:Z29)+SUM(O43:Z43)+SUM(O44:Z44)</f>
        <v>123576.92307692308</v>
      </c>
      <c r="P85" s="287"/>
      <c r="Q85" s="131" t="str">
        <f t="shared" si="84"/>
        <v>Staff Costs</v>
      </c>
      <c r="R85" s="332">
        <f>SUM(AA28:AL28)+SUM(AA29:AL29)+SUM(AA43:AL43)+SUM(AA44:AL44)</f>
        <v>164769.23076923078</v>
      </c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  <c r="AH85" s="287"/>
      <c r="AI85" s="287"/>
      <c r="AJ85" s="287"/>
      <c r="AK85" s="287"/>
      <c r="AL85" s="287"/>
      <c r="AM85" s="288"/>
      <c r="AN85" s="68"/>
      <c r="AO85" s="68"/>
      <c r="AP85" s="68"/>
      <c r="AQ85" s="68"/>
      <c r="AR85" s="68"/>
      <c r="AS85" s="68"/>
      <c r="AT85" s="68"/>
      <c r="AU85" s="328">
        <f>4171-4171</f>
        <v>0</v>
      </c>
      <c r="AV85" s="3" t="s">
        <v>79</v>
      </c>
    </row>
    <row r="86" spans="1:48" s="3" customFormat="1" ht="34.5" customHeight="1" x14ac:dyDescent="0.45">
      <c r="C86" s="287"/>
      <c r="D86" s="287"/>
      <c r="E86" s="287"/>
      <c r="F86" s="287"/>
      <c r="G86" s="287"/>
      <c r="H86" s="287"/>
      <c r="I86" s="287"/>
      <c r="J86" s="287"/>
      <c r="K86" s="174" t="s">
        <v>80</v>
      </c>
      <c r="L86" s="332">
        <f>SUM(C30:N30)</f>
        <v>5400</v>
      </c>
      <c r="M86" s="287"/>
      <c r="N86" s="131" t="str">
        <f t="shared" si="83"/>
        <v>Rent Exp.</v>
      </c>
      <c r="O86" s="332">
        <f>SUM(O30:Z30)</f>
        <v>9000</v>
      </c>
      <c r="P86" s="287"/>
      <c r="Q86" s="131" t="str">
        <f t="shared" si="84"/>
        <v>Rent Exp.</v>
      </c>
      <c r="R86" s="332">
        <f>SUM(AA30:AL30)</f>
        <v>14400</v>
      </c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  <c r="AH86" s="287"/>
      <c r="AI86" s="287"/>
      <c r="AJ86" s="287"/>
      <c r="AK86" s="287"/>
      <c r="AL86" s="287"/>
      <c r="AM86" s="288"/>
      <c r="AN86" s="68"/>
      <c r="AO86" s="68"/>
      <c r="AP86" s="68"/>
      <c r="AQ86" s="68"/>
      <c r="AR86" s="68"/>
      <c r="AS86" s="68"/>
      <c r="AT86" s="68"/>
      <c r="AU86" s="328">
        <f>AU84+AU85</f>
        <v>402094.76923076925</v>
      </c>
    </row>
    <row r="87" spans="1:48" s="3" customFormat="1" ht="34.5" customHeight="1" x14ac:dyDescent="0.45">
      <c r="C87" s="287"/>
      <c r="D87" s="287"/>
      <c r="E87" s="287"/>
      <c r="F87" s="287"/>
      <c r="G87" s="287"/>
      <c r="H87" s="287"/>
      <c r="I87" s="287"/>
      <c r="J87" s="287"/>
      <c r="K87" s="174" t="s">
        <v>81</v>
      </c>
      <c r="L87" s="332">
        <f>SUM(C31:N31)</f>
        <v>0</v>
      </c>
      <c r="M87" s="287"/>
      <c r="N87" s="131" t="str">
        <f t="shared" si="83"/>
        <v>Marketing Exp.</v>
      </c>
      <c r="O87" s="332">
        <f>SUM(O31:Z31)</f>
        <v>300000</v>
      </c>
      <c r="P87" s="287"/>
      <c r="Q87" s="131" t="str">
        <f t="shared" si="84"/>
        <v>Marketing Exp.</v>
      </c>
      <c r="R87" s="332">
        <f>SUM(AA31:AL31)</f>
        <v>325000</v>
      </c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  <c r="AH87" s="287"/>
      <c r="AI87" s="287"/>
      <c r="AJ87" s="287"/>
      <c r="AK87" s="287"/>
      <c r="AL87" s="287"/>
      <c r="AM87" s="288"/>
      <c r="AN87" s="68"/>
      <c r="AO87" s="68"/>
      <c r="AP87" s="68"/>
      <c r="AQ87" s="68"/>
      <c r="AR87" s="68">
        <v>8240</v>
      </c>
      <c r="AS87" s="68">
        <f t="shared" ref="AS87:AS89" si="85">AR87/500000</f>
        <v>1.6480000000000002E-2</v>
      </c>
      <c r="AT87" s="68"/>
      <c r="AU87" s="333">
        <f>AU86*1%</f>
        <v>4020.9476923076927</v>
      </c>
    </row>
    <row r="88" spans="1:48" s="3" customFormat="1" ht="34.5" customHeight="1" x14ac:dyDescent="0.45">
      <c r="C88" s="287"/>
      <c r="D88" s="287"/>
      <c r="E88" s="287"/>
      <c r="F88" s="287"/>
      <c r="G88" s="287"/>
      <c r="H88" s="287"/>
      <c r="I88" s="287"/>
      <c r="J88" s="287"/>
      <c r="K88" s="174" t="str">
        <f t="shared" ref="K88:K106" si="86">A33</f>
        <v>Gifts</v>
      </c>
      <c r="L88" s="332">
        <f t="shared" ref="L88:L97" si="87">SUM(C33:N33)</f>
        <v>33000</v>
      </c>
      <c r="M88" s="287"/>
      <c r="N88" s="131" t="str">
        <f t="shared" si="83"/>
        <v>Gifts</v>
      </c>
      <c r="O88" s="332">
        <f t="shared" ref="O88:O97" si="88">SUM(O33:Z33)</f>
        <v>41000</v>
      </c>
      <c r="P88" s="287"/>
      <c r="Q88" s="131" t="str">
        <f t="shared" si="84"/>
        <v>Gifts</v>
      </c>
      <c r="R88" s="332">
        <f t="shared" ref="R88:R97" si="89">SUM(AA33:AL33)</f>
        <v>62000</v>
      </c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  <c r="AH88" s="287"/>
      <c r="AI88" s="287"/>
      <c r="AJ88" s="287"/>
      <c r="AK88" s="287"/>
      <c r="AL88" s="287"/>
      <c r="AM88" s="288"/>
      <c r="AN88" s="68"/>
      <c r="AO88" s="68">
        <v>4120</v>
      </c>
      <c r="AP88" s="68">
        <f>AO88/500000</f>
        <v>8.2400000000000008E-3</v>
      </c>
      <c r="AQ88" s="68"/>
      <c r="AR88" s="68">
        <v>44820</v>
      </c>
      <c r="AS88" s="68">
        <f t="shared" si="85"/>
        <v>8.9639999999999997E-2</v>
      </c>
      <c r="AT88" s="68"/>
      <c r="AU88" s="68"/>
    </row>
    <row r="89" spans="1:48" s="3" customFormat="1" ht="34.5" customHeight="1" x14ac:dyDescent="0.45">
      <c r="C89" s="287"/>
      <c r="D89" s="287"/>
      <c r="E89" s="287"/>
      <c r="F89" s="287"/>
      <c r="G89" s="287"/>
      <c r="H89" s="287"/>
      <c r="I89" s="287"/>
      <c r="J89" s="287"/>
      <c r="K89" s="174" t="str">
        <f t="shared" si="86"/>
        <v>Consultation Fees</v>
      </c>
      <c r="L89" s="332">
        <f t="shared" si="87"/>
        <v>0</v>
      </c>
      <c r="M89" s="287"/>
      <c r="N89" s="131" t="str">
        <f t="shared" si="83"/>
        <v>Consultation Fees</v>
      </c>
      <c r="O89" s="332">
        <f t="shared" si="88"/>
        <v>6000</v>
      </c>
      <c r="P89" s="287"/>
      <c r="Q89" s="131" t="str">
        <f t="shared" si="84"/>
        <v>Consultation Fees</v>
      </c>
      <c r="R89" s="332">
        <f t="shared" si="89"/>
        <v>6000</v>
      </c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8"/>
      <c r="AN89" s="68"/>
      <c r="AO89" s="68">
        <v>22410</v>
      </c>
      <c r="AP89" s="68">
        <f t="shared" ref="AP89:AP90" si="90">AO89/500000</f>
        <v>4.4819999999999999E-2</v>
      </c>
      <c r="AQ89" s="68"/>
      <c r="AR89" s="68">
        <v>89548</v>
      </c>
      <c r="AS89" s="68">
        <f t="shared" si="85"/>
        <v>0.17909600000000001</v>
      </c>
      <c r="AT89" s="68"/>
      <c r="AU89" s="68"/>
    </row>
    <row r="90" spans="1:48" s="3" customFormat="1" ht="34.5" customHeight="1" x14ac:dyDescent="0.45">
      <c r="C90" s="287"/>
      <c r="D90" s="287"/>
      <c r="E90" s="287"/>
      <c r="F90" s="287"/>
      <c r="G90" s="287"/>
      <c r="H90" s="287"/>
      <c r="I90" s="287"/>
      <c r="J90" s="287"/>
      <c r="K90" s="174" t="str">
        <f t="shared" si="86"/>
        <v>Depreciation Expense</v>
      </c>
      <c r="L90" s="332">
        <f t="shared" si="87"/>
        <v>0</v>
      </c>
      <c r="M90" s="287"/>
      <c r="N90" s="131" t="str">
        <f t="shared" si="83"/>
        <v>Depreciation Expense</v>
      </c>
      <c r="O90" s="332">
        <f t="shared" si="88"/>
        <v>2160</v>
      </c>
      <c r="P90" s="287"/>
      <c r="Q90" s="131" t="str">
        <f t="shared" si="84"/>
        <v>Depreciation Expense</v>
      </c>
      <c r="R90" s="332">
        <f t="shared" si="89"/>
        <v>2160</v>
      </c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  <c r="AH90" s="287"/>
      <c r="AI90" s="287"/>
      <c r="AJ90" s="287"/>
      <c r="AK90" s="287"/>
      <c r="AL90" s="287"/>
      <c r="AM90" s="288"/>
      <c r="AN90" s="68"/>
      <c r="AO90" s="68">
        <v>44774</v>
      </c>
      <c r="AP90" s="68">
        <f t="shared" si="90"/>
        <v>8.9548000000000003E-2</v>
      </c>
      <c r="AQ90" s="68"/>
      <c r="AR90" s="68"/>
      <c r="AS90" s="68"/>
      <c r="AT90" s="68"/>
      <c r="AU90" s="68"/>
    </row>
    <row r="91" spans="1:48" s="3" customFormat="1" ht="34.5" customHeight="1" x14ac:dyDescent="0.45">
      <c r="C91" s="287"/>
      <c r="D91" s="287"/>
      <c r="E91" s="287"/>
      <c r="F91" s="287"/>
      <c r="G91" s="287"/>
      <c r="H91" s="287"/>
      <c r="I91" s="287"/>
      <c r="J91" s="287"/>
      <c r="K91" s="174" t="str">
        <f t="shared" si="86"/>
        <v>Printing &amp; Stationery</v>
      </c>
      <c r="L91" s="332">
        <f t="shared" si="87"/>
        <v>600</v>
      </c>
      <c r="M91" s="287"/>
      <c r="N91" s="131" t="str">
        <f t="shared" si="83"/>
        <v>Printing &amp; Stationery</v>
      </c>
      <c r="O91" s="332">
        <f t="shared" si="88"/>
        <v>600</v>
      </c>
      <c r="P91" s="287"/>
      <c r="Q91" s="131" t="str">
        <f t="shared" si="84"/>
        <v>Printing &amp; Stationery</v>
      </c>
      <c r="R91" s="332">
        <f t="shared" si="89"/>
        <v>600</v>
      </c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8"/>
      <c r="AN91" s="68"/>
      <c r="AO91" s="68"/>
      <c r="AP91" s="68"/>
      <c r="AQ91" s="68"/>
      <c r="AR91" s="68"/>
      <c r="AS91" s="68"/>
      <c r="AT91" s="68"/>
      <c r="AU91" s="68"/>
    </row>
    <row r="92" spans="1:48" s="3" customFormat="1" ht="34.5" customHeight="1" x14ac:dyDescent="0.45">
      <c r="C92" s="287"/>
      <c r="D92" s="287"/>
      <c r="E92" s="287"/>
      <c r="F92" s="287"/>
      <c r="G92" s="287"/>
      <c r="H92" s="287"/>
      <c r="I92" s="287"/>
      <c r="J92" s="287"/>
      <c r="K92" s="174" t="str">
        <f t="shared" si="86"/>
        <v>Subscriptions ( Internet &amp; Mobiles )</v>
      </c>
      <c r="L92" s="332">
        <f>SUM(C37:N37)</f>
        <v>900</v>
      </c>
      <c r="M92" s="287"/>
      <c r="N92" s="131" t="str">
        <f t="shared" si="83"/>
        <v>Subscriptions ( Internet &amp; Mobiles )</v>
      </c>
      <c r="O92" s="332">
        <f t="shared" si="88"/>
        <v>1200</v>
      </c>
      <c r="P92" s="287"/>
      <c r="Q92" s="131" t="str">
        <f t="shared" si="84"/>
        <v>Subscriptions ( Internet &amp; Mobiles )</v>
      </c>
      <c r="R92" s="332">
        <f t="shared" si="89"/>
        <v>1500</v>
      </c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8"/>
      <c r="AN92" s="68"/>
      <c r="AO92" s="68"/>
      <c r="AP92" s="68"/>
      <c r="AQ92" s="68"/>
      <c r="AR92" s="68"/>
      <c r="AS92" s="68"/>
      <c r="AT92" s="68"/>
      <c r="AU92" s="68"/>
    </row>
    <row r="93" spans="1:48" ht="34.5" customHeight="1" thickBot="1" x14ac:dyDescent="0.55000000000000004">
      <c r="A93" s="249" t="s">
        <v>82</v>
      </c>
      <c r="B93" s="250"/>
      <c r="C93" s="334">
        <v>2019</v>
      </c>
      <c r="D93" s="334">
        <v>2020</v>
      </c>
      <c r="E93" s="334">
        <f>1+D93</f>
        <v>2021</v>
      </c>
      <c r="F93" s="334">
        <f>1+E93</f>
        <v>2022</v>
      </c>
      <c r="G93" s="287"/>
      <c r="H93" s="287"/>
      <c r="I93" s="287"/>
      <c r="J93" s="287"/>
      <c r="K93" s="174" t="str">
        <f t="shared" si="86"/>
        <v xml:space="preserve">Vehicle Expenses </v>
      </c>
      <c r="L93" s="332">
        <f t="shared" si="87"/>
        <v>0</v>
      </c>
      <c r="M93" s="287"/>
      <c r="N93" s="131" t="str">
        <f t="shared" si="83"/>
        <v xml:space="preserve">Vehicle Expenses </v>
      </c>
      <c r="O93" s="332">
        <f t="shared" si="88"/>
        <v>0</v>
      </c>
      <c r="P93" s="287"/>
      <c r="Q93" s="131" t="str">
        <f t="shared" si="84"/>
        <v xml:space="preserve">Vehicle Expenses </v>
      </c>
      <c r="R93" s="332">
        <f t="shared" si="89"/>
        <v>0</v>
      </c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8"/>
      <c r="AN93" s="68"/>
      <c r="AO93" s="68"/>
      <c r="AP93" s="68"/>
      <c r="AS93" s="259"/>
      <c r="AT93" s="259"/>
      <c r="AU93" s="259"/>
    </row>
    <row r="94" spans="1:48" ht="34.5" customHeight="1" thickBot="1" x14ac:dyDescent="0.55000000000000004">
      <c r="A94" s="251"/>
      <c r="B94" s="252"/>
      <c r="C94" s="335">
        <v>9</v>
      </c>
      <c r="D94" s="336">
        <v>0</v>
      </c>
      <c r="E94" s="336">
        <v>0</v>
      </c>
      <c r="F94" s="337"/>
      <c r="G94" s="287"/>
      <c r="H94" s="287"/>
      <c r="I94" s="287"/>
      <c r="J94" s="287"/>
      <c r="K94" s="174" t="str">
        <f t="shared" si="86"/>
        <v>Repairs and Maintenance</v>
      </c>
      <c r="L94" s="332">
        <f t="shared" si="87"/>
        <v>540</v>
      </c>
      <c r="M94" s="287"/>
      <c r="N94" s="131" t="str">
        <f t="shared" si="83"/>
        <v>Repairs and Maintenance</v>
      </c>
      <c r="O94" s="332">
        <f t="shared" si="88"/>
        <v>540</v>
      </c>
      <c r="P94" s="287"/>
      <c r="Q94" s="131" t="str">
        <f t="shared" si="84"/>
        <v>Repairs and Maintenance</v>
      </c>
      <c r="R94" s="332">
        <f t="shared" si="89"/>
        <v>540</v>
      </c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8"/>
      <c r="AS94" s="259"/>
      <c r="AT94" s="259"/>
      <c r="AU94" s="259"/>
    </row>
    <row r="95" spans="1:48" ht="29.25" customHeight="1" x14ac:dyDescent="0.4">
      <c r="K95" s="174" t="str">
        <f t="shared" si="86"/>
        <v>Hospitality</v>
      </c>
      <c r="L95" s="332">
        <f t="shared" si="87"/>
        <v>360</v>
      </c>
      <c r="N95" s="131" t="str">
        <f t="shared" si="83"/>
        <v>Hospitality</v>
      </c>
      <c r="O95" s="332">
        <f t="shared" si="88"/>
        <v>360</v>
      </c>
      <c r="Q95" s="131" t="str">
        <f t="shared" si="84"/>
        <v>Hospitality</v>
      </c>
      <c r="R95" s="332">
        <f t="shared" si="89"/>
        <v>360</v>
      </c>
      <c r="AS95" s="259"/>
      <c r="AT95" s="259"/>
      <c r="AU95" s="259"/>
    </row>
    <row r="96" spans="1:48" ht="44.25" customHeight="1" x14ac:dyDescent="0.4">
      <c r="A96" s="635" t="s">
        <v>83</v>
      </c>
      <c r="B96" s="635"/>
      <c r="C96" s="635"/>
      <c r="D96" s="635"/>
      <c r="E96" s="635"/>
      <c r="F96" s="635"/>
      <c r="G96" s="340"/>
      <c r="K96" s="174" t="str">
        <f t="shared" si="86"/>
        <v>Insurance</v>
      </c>
      <c r="L96" s="332">
        <f t="shared" si="87"/>
        <v>0</v>
      </c>
      <c r="N96" s="131" t="str">
        <f t="shared" si="83"/>
        <v>Insurance</v>
      </c>
      <c r="O96" s="332">
        <f t="shared" si="88"/>
        <v>0</v>
      </c>
      <c r="Q96" s="131" t="str">
        <f t="shared" si="84"/>
        <v>Insurance</v>
      </c>
      <c r="R96" s="332">
        <f t="shared" si="89"/>
        <v>0</v>
      </c>
      <c r="AC96" s="259"/>
      <c r="AD96" s="259"/>
      <c r="AE96" s="259"/>
      <c r="AF96" s="259"/>
      <c r="AG96" s="259"/>
      <c r="AH96" s="259"/>
      <c r="AI96" s="259"/>
      <c r="AJ96" s="259"/>
      <c r="AK96" s="259"/>
      <c r="AL96" s="259"/>
      <c r="AM96" s="341"/>
      <c r="AS96" s="259"/>
      <c r="AT96" s="259"/>
      <c r="AU96" s="259"/>
    </row>
    <row r="97" spans="1:47" ht="44.25" customHeight="1" x14ac:dyDescent="0.4">
      <c r="A97" s="636" t="s">
        <v>84</v>
      </c>
      <c r="B97" s="636"/>
      <c r="C97" s="636"/>
      <c r="D97" s="636"/>
      <c r="E97" s="636"/>
      <c r="F97" s="636"/>
      <c r="G97" s="342"/>
      <c r="K97" s="174" t="str">
        <f t="shared" si="86"/>
        <v>Profesional Fees</v>
      </c>
      <c r="L97" s="332">
        <f t="shared" si="87"/>
        <v>2000.0000000000002</v>
      </c>
      <c r="N97" s="131" t="str">
        <f t="shared" si="83"/>
        <v>Profesional Fees</v>
      </c>
      <c r="O97" s="332">
        <f t="shared" si="88"/>
        <v>2000.0000000000002</v>
      </c>
      <c r="Q97" s="131" t="str">
        <f t="shared" si="84"/>
        <v>Profesional Fees</v>
      </c>
      <c r="R97" s="332">
        <f t="shared" si="89"/>
        <v>2000.0000000000002</v>
      </c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341"/>
      <c r="AS97" s="259"/>
      <c r="AT97" s="259"/>
      <c r="AU97" s="259"/>
    </row>
    <row r="98" spans="1:47" ht="36.75" customHeight="1" x14ac:dyDescent="0.4">
      <c r="H98" s="338">
        <f>C100+C105+C106+C107+C108+C109</f>
        <v>3</v>
      </c>
      <c r="I98" s="338">
        <f>C117+C118+C119</f>
        <v>0</v>
      </c>
      <c r="J98" s="338">
        <f>C126+C127+C128</f>
        <v>0</v>
      </c>
      <c r="K98" s="174" t="str">
        <f t="shared" si="86"/>
        <v>Indemnity</v>
      </c>
      <c r="L98" s="343">
        <v>0</v>
      </c>
      <c r="N98" s="131" t="str">
        <f t="shared" si="83"/>
        <v>Indemnity</v>
      </c>
      <c r="O98" s="343">
        <v>0</v>
      </c>
      <c r="Q98" s="131" t="str">
        <f t="shared" si="84"/>
        <v>Indemnity</v>
      </c>
      <c r="R98" s="343"/>
      <c r="AC98" s="259"/>
      <c r="AD98" s="259"/>
      <c r="AE98" s="259"/>
      <c r="AF98" s="259"/>
      <c r="AG98" s="259"/>
      <c r="AH98" s="259"/>
      <c r="AI98" s="259"/>
      <c r="AJ98" s="259"/>
      <c r="AK98" s="259"/>
      <c r="AL98" s="259"/>
      <c r="AS98" s="259"/>
      <c r="AT98" s="259"/>
      <c r="AU98" s="259"/>
    </row>
    <row r="99" spans="1:47" ht="110.25" customHeight="1" x14ac:dyDescent="0.4">
      <c r="A99" s="255" t="s">
        <v>85</v>
      </c>
      <c r="B99" s="255" t="s">
        <v>86</v>
      </c>
      <c r="C99" s="344" t="s">
        <v>87</v>
      </c>
      <c r="D99" s="344" t="s">
        <v>88</v>
      </c>
      <c r="E99" s="344" t="s">
        <v>89</v>
      </c>
      <c r="F99" s="344" t="s">
        <v>90</v>
      </c>
      <c r="G99" s="345" t="s">
        <v>91</v>
      </c>
      <c r="H99" s="346" t="s">
        <v>92</v>
      </c>
      <c r="I99" s="346" t="s">
        <v>93</v>
      </c>
      <c r="J99" s="346" t="s">
        <v>94</v>
      </c>
      <c r="K99" s="174" t="str">
        <f t="shared" si="86"/>
        <v>Leave</v>
      </c>
      <c r="L99" s="343">
        <v>0</v>
      </c>
      <c r="N99" s="131" t="str">
        <f t="shared" si="83"/>
        <v>Leave</v>
      </c>
      <c r="O99" s="343">
        <v>0</v>
      </c>
      <c r="Q99" s="131" t="str">
        <f t="shared" si="84"/>
        <v>Leave</v>
      </c>
      <c r="R99" s="343"/>
      <c r="V99" s="259">
        <f>SUM(C31:AC31)</f>
        <v>425000</v>
      </c>
      <c r="W99" s="259">
        <f>V99/V103</f>
        <v>0.75710708835342133</v>
      </c>
      <c r="X99" s="347">
        <f>-H62</f>
        <v>0</v>
      </c>
      <c r="Y99" s="259">
        <f>X99/X103</f>
        <v>0</v>
      </c>
      <c r="Z99" s="338">
        <f>X99+X100</f>
        <v>0</v>
      </c>
      <c r="AC99" s="259"/>
      <c r="AD99" s="259"/>
      <c r="AE99" s="259"/>
      <c r="AF99" s="259"/>
      <c r="AG99" s="259"/>
      <c r="AH99" s="259"/>
      <c r="AI99" s="259"/>
      <c r="AJ99" s="259"/>
      <c r="AK99" s="259"/>
      <c r="AL99" s="259"/>
      <c r="AS99" s="259"/>
      <c r="AT99" s="259"/>
      <c r="AU99" s="259"/>
    </row>
    <row r="100" spans="1:47" s="253" customFormat="1" ht="77.25" customHeight="1" x14ac:dyDescent="0.35">
      <c r="A100" s="256" t="s">
        <v>95</v>
      </c>
      <c r="B100" s="257">
        <v>2230</v>
      </c>
      <c r="C100" s="348">
        <v>1</v>
      </c>
      <c r="D100" s="257">
        <f>B100*C100</f>
        <v>2230</v>
      </c>
      <c r="E100" s="257">
        <f>D100*12</f>
        <v>26760</v>
      </c>
      <c r="F100" s="348" t="s">
        <v>96</v>
      </c>
      <c r="G100" s="349">
        <f>B100*7</f>
        <v>15610</v>
      </c>
      <c r="H100" s="257">
        <f>D100+D105+D107+D108</f>
        <v>2530</v>
      </c>
      <c r="I100" s="257">
        <f>H100+D117+D118+D119</f>
        <v>2530</v>
      </c>
      <c r="J100" s="257">
        <f>I100+D126+D127+D128</f>
        <v>2530</v>
      </c>
      <c r="K100" s="371" t="str">
        <f t="shared" si="86"/>
        <v>Telephone &amp; Internet</v>
      </c>
      <c r="L100" s="332">
        <f t="shared" ref="L100:L106" si="91">SUM(C45:N45)</f>
        <v>1518.0840000000005</v>
      </c>
      <c r="M100" s="259"/>
      <c r="N100" s="131" t="str">
        <f t="shared" si="83"/>
        <v>Telephone &amp; Internet</v>
      </c>
      <c r="O100" s="332">
        <f t="shared" ref="O100:O106" si="92">SUM(O45:Z45)</f>
        <v>1440</v>
      </c>
      <c r="P100" s="259"/>
      <c r="Q100" s="131" t="str">
        <f t="shared" si="84"/>
        <v>Telephone &amp; Internet</v>
      </c>
      <c r="R100" s="332">
        <f t="shared" ref="R100:R106" si="93">SUM(AA45:AL45)</f>
        <v>1440</v>
      </c>
      <c r="S100" s="259"/>
      <c r="T100" s="259"/>
      <c r="U100" s="259"/>
      <c r="V100" s="259">
        <f>SUM(C28:L28)</f>
        <v>35000</v>
      </c>
      <c r="W100" s="259">
        <f>V100/V103</f>
        <v>6.2349995511458221E-2</v>
      </c>
      <c r="X100" s="347">
        <f>-O62</f>
        <v>0</v>
      </c>
      <c r="Y100" s="259">
        <f>X100/X103</f>
        <v>0</v>
      </c>
      <c r="Z100" s="259"/>
      <c r="AA100" s="259"/>
      <c r="AB100" s="259"/>
      <c r="AC100" s="259"/>
      <c r="AD100" s="259"/>
      <c r="AE100" s="259"/>
      <c r="AF100" s="259"/>
      <c r="AG100" s="259"/>
      <c r="AH100" s="259"/>
      <c r="AI100" s="259"/>
      <c r="AJ100" s="259"/>
      <c r="AK100" s="259"/>
      <c r="AL100" s="259"/>
      <c r="AM100" s="259"/>
      <c r="AN100" s="263"/>
      <c r="AO100" s="263"/>
      <c r="AP100" s="263"/>
      <c r="AQ100" s="259"/>
      <c r="AR100" s="259"/>
      <c r="AS100" s="259"/>
      <c r="AT100" s="259"/>
      <c r="AU100" s="259"/>
    </row>
    <row r="101" spans="1:47" s="253" customFormat="1" ht="77.25" customHeight="1" x14ac:dyDescent="0.35">
      <c r="A101" s="256" t="s">
        <v>97</v>
      </c>
      <c r="B101" s="258">
        <v>700</v>
      </c>
      <c r="C101" s="257">
        <v>1</v>
      </c>
      <c r="D101" s="257">
        <f t="shared" ref="D101:D108" si="94">B101*C101</f>
        <v>700</v>
      </c>
      <c r="E101" s="257">
        <f>D101*12</f>
        <v>8400</v>
      </c>
      <c r="F101" s="257"/>
      <c r="G101" s="349">
        <f>B101*12</f>
        <v>8400</v>
      </c>
      <c r="H101" s="259"/>
      <c r="I101" s="259"/>
      <c r="J101" s="259"/>
      <c r="K101" s="174" t="str">
        <f t="shared" si="86"/>
        <v>Travel</v>
      </c>
      <c r="L101" s="332">
        <f t="shared" si="91"/>
        <v>0</v>
      </c>
      <c r="M101" s="259"/>
      <c r="N101" s="131" t="str">
        <f t="shared" si="83"/>
        <v>Travel</v>
      </c>
      <c r="O101" s="332">
        <f t="shared" si="92"/>
        <v>2000</v>
      </c>
      <c r="P101" s="259"/>
      <c r="Q101" s="131" t="str">
        <f t="shared" si="84"/>
        <v>Travel</v>
      </c>
      <c r="R101" s="332">
        <f t="shared" si="93"/>
        <v>2000</v>
      </c>
      <c r="S101" s="259"/>
      <c r="T101" s="259"/>
      <c r="U101" s="259"/>
      <c r="V101" s="259">
        <f>SUM(C30:L30)</f>
        <v>4500</v>
      </c>
      <c r="W101" s="259">
        <f>V101/V103</f>
        <v>8.0164279943303433E-3</v>
      </c>
      <c r="X101" s="347">
        <f>-AC62-X99-X100</f>
        <v>-68772</v>
      </c>
      <c r="Y101" s="259">
        <f>X101/X103</f>
        <v>1</v>
      </c>
      <c r="Z101" s="259"/>
      <c r="AA101" s="259"/>
      <c r="AB101" s="259"/>
      <c r="AC101" s="259"/>
      <c r="AD101" s="259"/>
      <c r="AE101" s="259"/>
      <c r="AF101" s="259"/>
      <c r="AG101" s="259"/>
      <c r="AH101" s="259"/>
      <c r="AI101" s="259"/>
      <c r="AJ101" s="259"/>
      <c r="AK101" s="259"/>
      <c r="AL101" s="259"/>
      <c r="AM101" s="259"/>
      <c r="AN101" s="259"/>
      <c r="AO101" s="259"/>
      <c r="AP101" s="259"/>
      <c r="AQ101" s="259"/>
      <c r="AR101" s="259"/>
      <c r="AS101" s="259"/>
      <c r="AT101" s="259"/>
      <c r="AU101" s="259">
        <f>AU98+AT98</f>
        <v>0</v>
      </c>
    </row>
    <row r="102" spans="1:47" s="253" customFormat="1" ht="77.25" customHeight="1" x14ac:dyDescent="0.35">
      <c r="A102" s="256" t="s">
        <v>98</v>
      </c>
      <c r="B102" s="257">
        <v>700</v>
      </c>
      <c r="C102" s="257">
        <v>0</v>
      </c>
      <c r="D102" s="257">
        <f t="shared" si="94"/>
        <v>0</v>
      </c>
      <c r="E102" s="257">
        <f>D102*12</f>
        <v>0</v>
      </c>
      <c r="F102" s="257"/>
      <c r="G102" s="349">
        <f>B102*3</f>
        <v>2100</v>
      </c>
      <c r="H102" s="259"/>
      <c r="I102" s="259"/>
      <c r="J102" s="259"/>
      <c r="K102" s="174" t="str">
        <f t="shared" si="86"/>
        <v>Governmental Expenses</v>
      </c>
      <c r="L102" s="332">
        <f t="shared" si="91"/>
        <v>300</v>
      </c>
      <c r="M102" s="259"/>
      <c r="N102" s="131" t="str">
        <f t="shared" si="83"/>
        <v>Governmental Expenses</v>
      </c>
      <c r="O102" s="332">
        <f t="shared" si="92"/>
        <v>300</v>
      </c>
      <c r="P102" s="259"/>
      <c r="Q102" s="131" t="str">
        <f t="shared" si="84"/>
        <v>Governmental Expenses</v>
      </c>
      <c r="R102" s="332">
        <f t="shared" si="93"/>
        <v>300</v>
      </c>
      <c r="S102" s="259"/>
      <c r="T102" s="259"/>
      <c r="U102" s="259"/>
      <c r="V102" s="259">
        <v>96847.273771141772</v>
      </c>
      <c r="W102" s="259">
        <f>V102/V103</f>
        <v>0.17252648814079016</v>
      </c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259"/>
      <c r="AL102" s="259"/>
      <c r="AM102" s="259"/>
      <c r="AN102" s="259"/>
      <c r="AO102" s="259"/>
      <c r="AP102" s="259"/>
      <c r="AQ102" s="259"/>
      <c r="AR102" s="259"/>
      <c r="AS102" s="259"/>
      <c r="AT102" s="259"/>
      <c r="AU102" s="259"/>
    </row>
    <row r="103" spans="1:47" s="253" customFormat="1" ht="77.25" customHeight="1" x14ac:dyDescent="0.35">
      <c r="A103" s="256" t="s">
        <v>99</v>
      </c>
      <c r="B103" s="258">
        <v>300</v>
      </c>
      <c r="C103" s="257">
        <v>1</v>
      </c>
      <c r="D103" s="257">
        <f t="shared" si="94"/>
        <v>300</v>
      </c>
      <c r="E103" s="257">
        <f>D103*12</f>
        <v>3600</v>
      </c>
      <c r="F103" s="257"/>
      <c r="G103" s="349">
        <f>B103*12</f>
        <v>3600</v>
      </c>
      <c r="H103" s="259"/>
      <c r="I103" s="259"/>
      <c r="J103" s="259"/>
      <c r="K103" s="174" t="str">
        <f t="shared" si="86"/>
        <v>Transportation</v>
      </c>
      <c r="L103" s="332">
        <f t="shared" si="91"/>
        <v>0</v>
      </c>
      <c r="M103" s="259"/>
      <c r="N103" s="131" t="str">
        <f t="shared" si="83"/>
        <v>Transportation</v>
      </c>
      <c r="O103" s="332">
        <f t="shared" si="92"/>
        <v>0</v>
      </c>
      <c r="P103" s="259"/>
      <c r="Q103" s="131" t="str">
        <f t="shared" si="84"/>
        <v>Transportation</v>
      </c>
      <c r="R103" s="332">
        <f t="shared" si="93"/>
        <v>0</v>
      </c>
      <c r="S103" s="259"/>
      <c r="T103" s="259"/>
      <c r="U103" s="259"/>
      <c r="V103" s="260">
        <f>SUM(V99:V102)</f>
        <v>561347.27377114177</v>
      </c>
      <c r="W103" s="259"/>
      <c r="X103" s="260">
        <f>SUM(X99:X102)</f>
        <v>-68772</v>
      </c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59"/>
      <c r="AN103" s="259"/>
      <c r="AO103" s="259"/>
      <c r="AP103" s="259"/>
      <c r="AQ103" s="259"/>
      <c r="AR103" s="259"/>
      <c r="AS103" s="259"/>
      <c r="AT103" s="259"/>
      <c r="AU103" s="259"/>
    </row>
    <row r="104" spans="1:47" s="253" customFormat="1" ht="77.25" customHeight="1" x14ac:dyDescent="0.35">
      <c r="A104" s="256" t="s">
        <v>100</v>
      </c>
      <c r="B104" s="257">
        <v>600</v>
      </c>
      <c r="C104" s="257">
        <v>2</v>
      </c>
      <c r="D104" s="257">
        <f t="shared" si="94"/>
        <v>1200</v>
      </c>
      <c r="E104" s="257">
        <f>D104*12</f>
        <v>14400</v>
      </c>
      <c r="F104" s="257"/>
      <c r="G104" s="349">
        <f>D104*12</f>
        <v>14400</v>
      </c>
      <c r="H104" s="259"/>
      <c r="I104" s="259"/>
      <c r="J104" s="259"/>
      <c r="K104" s="174" t="str">
        <f t="shared" si="86"/>
        <v>Staff Residences Expenses</v>
      </c>
      <c r="L104" s="332">
        <f t="shared" si="91"/>
        <v>480</v>
      </c>
      <c r="M104" s="259"/>
      <c r="N104" s="131" t="str">
        <f t="shared" si="83"/>
        <v>Staff Residences Expenses</v>
      </c>
      <c r="O104" s="332">
        <f t="shared" si="92"/>
        <v>480</v>
      </c>
      <c r="P104" s="259"/>
      <c r="Q104" s="131" t="str">
        <f t="shared" si="84"/>
        <v>Staff Residences Expenses</v>
      </c>
      <c r="R104" s="332">
        <f t="shared" si="93"/>
        <v>480</v>
      </c>
      <c r="S104" s="259"/>
      <c r="T104" s="259"/>
      <c r="U104" s="259"/>
      <c r="V104" s="350">
        <f>V103-AD63</f>
        <v>561347.27377114177</v>
      </c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9"/>
      <c r="AN104" s="259"/>
      <c r="AO104" s="259"/>
      <c r="AP104" s="259"/>
      <c r="AQ104" s="259"/>
      <c r="AR104" s="259"/>
      <c r="AS104" s="259"/>
      <c r="AT104" s="259"/>
      <c r="AU104" s="259"/>
    </row>
    <row r="105" spans="1:47" s="253" customFormat="1" ht="77.25" customHeight="1" x14ac:dyDescent="0.35">
      <c r="A105" s="256" t="s">
        <v>101</v>
      </c>
      <c r="B105" s="257">
        <v>1000</v>
      </c>
      <c r="C105" s="348">
        <v>0</v>
      </c>
      <c r="D105" s="257">
        <f t="shared" si="94"/>
        <v>0</v>
      </c>
      <c r="E105" s="257">
        <f t="shared" ref="E105:E106" si="95">D105*12</f>
        <v>0</v>
      </c>
      <c r="F105" s="348" t="s">
        <v>96</v>
      </c>
      <c r="G105" s="349">
        <f>B105*3</f>
        <v>3000</v>
      </c>
      <c r="H105" s="259"/>
      <c r="I105" s="259">
        <f>E103+E105+E106+E107</f>
        <v>13200</v>
      </c>
      <c r="J105" s="259"/>
      <c r="K105" s="174" t="str">
        <f t="shared" si="86"/>
        <v>Bank Charges</v>
      </c>
      <c r="L105" s="332">
        <f t="shared" si="91"/>
        <v>456</v>
      </c>
      <c r="M105" s="259"/>
      <c r="N105" s="131" t="str">
        <f t="shared" si="83"/>
        <v>Bank Charges</v>
      </c>
      <c r="O105" s="332">
        <f t="shared" si="92"/>
        <v>456</v>
      </c>
      <c r="P105" s="259"/>
      <c r="Q105" s="131" t="str">
        <f t="shared" si="84"/>
        <v>Bank Charges</v>
      </c>
      <c r="R105" s="332">
        <f t="shared" si="93"/>
        <v>456</v>
      </c>
      <c r="S105" s="259"/>
      <c r="T105" s="259"/>
      <c r="U105" s="259"/>
      <c r="V105" s="259">
        <v>409847.27377114177</v>
      </c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9"/>
      <c r="AN105" s="259"/>
      <c r="AO105" s="259"/>
      <c r="AP105" s="259"/>
      <c r="AQ105" s="259"/>
      <c r="AR105" s="259"/>
      <c r="AS105" s="259"/>
      <c r="AT105" s="259"/>
      <c r="AU105" s="259"/>
    </row>
    <row r="106" spans="1:47" s="253" customFormat="1" ht="77.25" customHeight="1" x14ac:dyDescent="0.35">
      <c r="A106" s="256" t="s">
        <v>102</v>
      </c>
      <c r="B106" s="258">
        <v>500</v>
      </c>
      <c r="C106" s="257">
        <v>1</v>
      </c>
      <c r="D106" s="257">
        <f t="shared" si="94"/>
        <v>500</v>
      </c>
      <c r="E106" s="257">
        <f t="shared" si="95"/>
        <v>6000</v>
      </c>
      <c r="F106" s="257"/>
      <c r="G106" s="349">
        <f>B106*12</f>
        <v>6000</v>
      </c>
      <c r="H106" s="259"/>
      <c r="I106" s="259">
        <f>E103+E107</f>
        <v>7200</v>
      </c>
      <c r="J106" s="259">
        <f>E105+E106</f>
        <v>6000</v>
      </c>
      <c r="K106" s="371" t="str">
        <f t="shared" si="86"/>
        <v>Finance (Interest) Charges</v>
      </c>
      <c r="L106" s="332">
        <f t="shared" si="91"/>
        <v>0</v>
      </c>
      <c r="M106" s="259"/>
      <c r="N106" s="131" t="str">
        <f t="shared" si="83"/>
        <v>Finance (Interest) Charges</v>
      </c>
      <c r="O106" s="332">
        <f t="shared" si="92"/>
        <v>0</v>
      </c>
      <c r="P106" s="259"/>
      <c r="Q106" s="131" t="str">
        <f t="shared" si="84"/>
        <v>Finance (Interest) Charges</v>
      </c>
      <c r="R106" s="332">
        <f t="shared" si="93"/>
        <v>0</v>
      </c>
      <c r="S106" s="259"/>
      <c r="T106" s="259"/>
      <c r="U106" s="259"/>
      <c r="V106" s="259">
        <f>V105-V103</f>
        <v>-151500</v>
      </c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259"/>
      <c r="AK106" s="259"/>
      <c r="AL106" s="259"/>
      <c r="AM106" s="259"/>
      <c r="AN106" s="259"/>
      <c r="AO106" s="259"/>
      <c r="AP106" s="259"/>
      <c r="AQ106" s="259"/>
      <c r="AR106" s="259"/>
      <c r="AS106" s="259"/>
      <c r="AT106" s="259"/>
      <c r="AU106" s="259"/>
    </row>
    <row r="107" spans="1:47" s="253" customFormat="1" ht="77.25" customHeight="1" x14ac:dyDescent="0.35">
      <c r="A107" s="256" t="s">
        <v>103</v>
      </c>
      <c r="B107" s="257">
        <v>300</v>
      </c>
      <c r="C107" s="348">
        <v>1</v>
      </c>
      <c r="D107" s="257">
        <f t="shared" si="94"/>
        <v>300</v>
      </c>
      <c r="E107" s="257">
        <f>D107*12</f>
        <v>3600</v>
      </c>
      <c r="F107" s="348" t="s">
        <v>96</v>
      </c>
      <c r="G107" s="349">
        <f>D107*3</f>
        <v>900</v>
      </c>
      <c r="H107" s="259"/>
      <c r="I107" s="259">
        <f>I106/AS57</f>
        <v>5.0606576043409193E-2</v>
      </c>
      <c r="J107" s="259">
        <f>J106/AS57</f>
        <v>4.2172146702840994E-2</v>
      </c>
      <c r="K107" s="174"/>
      <c r="L107" s="332"/>
      <c r="M107" s="259"/>
      <c r="N107" s="131">
        <f t="shared" si="83"/>
        <v>0</v>
      </c>
      <c r="O107" s="332"/>
      <c r="P107" s="259"/>
      <c r="Q107" s="131">
        <f t="shared" si="84"/>
        <v>0</v>
      </c>
      <c r="R107" s="332"/>
      <c r="S107" s="259"/>
      <c r="T107" s="259"/>
      <c r="U107" s="259"/>
      <c r="V107" s="259"/>
      <c r="W107" s="259"/>
      <c r="X107" s="259"/>
      <c r="Y107" s="259"/>
      <c r="Z107" s="259"/>
      <c r="AA107" s="259"/>
      <c r="AB107" s="259"/>
      <c r="AC107" s="259"/>
      <c r="AD107" s="259"/>
      <c r="AE107" s="259"/>
      <c r="AF107" s="259"/>
      <c r="AG107" s="259"/>
      <c r="AH107" s="259"/>
      <c r="AI107" s="259"/>
      <c r="AJ107" s="259"/>
      <c r="AK107" s="259"/>
      <c r="AL107" s="259"/>
      <c r="AM107" s="259"/>
      <c r="AN107" s="259"/>
      <c r="AO107" s="259"/>
      <c r="AP107" s="259"/>
      <c r="AQ107" s="259"/>
      <c r="AR107" s="259"/>
      <c r="AS107" s="259"/>
      <c r="AT107" s="259"/>
      <c r="AU107" s="259"/>
    </row>
    <row r="108" spans="1:47" s="253" customFormat="1" ht="77.25" customHeight="1" x14ac:dyDescent="0.35">
      <c r="A108" s="256" t="s">
        <v>104</v>
      </c>
      <c r="B108" s="257">
        <v>450</v>
      </c>
      <c r="C108" s="348">
        <v>0</v>
      </c>
      <c r="D108" s="257">
        <f t="shared" si="94"/>
        <v>0</v>
      </c>
      <c r="E108" s="257">
        <f>D108*12</f>
        <v>0</v>
      </c>
      <c r="F108" s="348" t="s">
        <v>96</v>
      </c>
      <c r="G108" s="349">
        <f t="shared" ref="G108" si="96">B108*3</f>
        <v>1350</v>
      </c>
      <c r="H108" s="259"/>
      <c r="I108" s="259"/>
      <c r="J108" s="259"/>
      <c r="K108" s="174" t="str">
        <f>A52</f>
        <v>IT and Software</v>
      </c>
      <c r="L108" s="332">
        <f>SUM(C52:N52)</f>
        <v>300</v>
      </c>
      <c r="M108" s="259"/>
      <c r="N108" s="131" t="str">
        <f t="shared" si="83"/>
        <v>IT and Software</v>
      </c>
      <c r="O108" s="332">
        <f>SUM(O52:Z52)</f>
        <v>300</v>
      </c>
      <c r="P108" s="259"/>
      <c r="Q108" s="131" t="str">
        <f t="shared" si="84"/>
        <v>IT and Software</v>
      </c>
      <c r="R108" s="332">
        <f>SUM(AA52:AL52)</f>
        <v>300</v>
      </c>
      <c r="S108" s="259"/>
      <c r="T108" s="259"/>
      <c r="U108" s="259"/>
      <c r="V108" s="259"/>
      <c r="W108" s="259"/>
      <c r="X108" s="259"/>
      <c r="Y108" s="259"/>
      <c r="Z108" s="259"/>
      <c r="AA108" s="259"/>
      <c r="AB108" s="259"/>
      <c r="AC108" s="259"/>
      <c r="AD108" s="259"/>
      <c r="AE108" s="259"/>
      <c r="AF108" s="259"/>
      <c r="AG108" s="259"/>
      <c r="AH108" s="259"/>
      <c r="AI108" s="259"/>
      <c r="AJ108" s="259"/>
      <c r="AK108" s="259"/>
      <c r="AL108" s="259"/>
      <c r="AM108" s="259"/>
      <c r="AN108" s="259"/>
      <c r="AO108" s="259"/>
      <c r="AP108" s="259"/>
      <c r="AQ108" s="259"/>
      <c r="AR108" s="259"/>
      <c r="AS108" s="259"/>
      <c r="AT108" s="259"/>
      <c r="AU108" s="259"/>
    </row>
    <row r="109" spans="1:47" s="253" customFormat="1" ht="77.25" customHeight="1" x14ac:dyDescent="0.35">
      <c r="A109" s="256" t="s">
        <v>105</v>
      </c>
      <c r="B109" s="258">
        <v>180</v>
      </c>
      <c r="C109" s="257"/>
      <c r="D109" s="257">
        <v>0</v>
      </c>
      <c r="E109" s="257">
        <f>D109*12</f>
        <v>0</v>
      </c>
      <c r="F109" s="257"/>
      <c r="G109" s="349">
        <f>B109*12</f>
        <v>2160</v>
      </c>
      <c r="H109" s="259"/>
      <c r="I109" s="259"/>
      <c r="J109" s="259"/>
      <c r="K109" s="371" t="str">
        <f>A53</f>
        <v>Miscellaneous Expenses</v>
      </c>
      <c r="L109" s="332">
        <f>SUM(C53:N53)</f>
        <v>300</v>
      </c>
      <c r="M109" s="259"/>
      <c r="N109" s="131" t="str">
        <f t="shared" si="83"/>
        <v>Miscellaneous Expenses</v>
      </c>
      <c r="O109" s="332">
        <f>SUM(O53:Z53)</f>
        <v>300</v>
      </c>
      <c r="P109" s="259"/>
      <c r="Q109" s="131" t="str">
        <f t="shared" si="84"/>
        <v>Miscellaneous Expenses</v>
      </c>
      <c r="R109" s="332">
        <f>SUM(AA53:AL53)</f>
        <v>300</v>
      </c>
      <c r="S109" s="259"/>
      <c r="T109" s="259"/>
      <c r="U109" s="259"/>
      <c r="V109" s="259"/>
      <c r="W109" s="259"/>
      <c r="X109" s="259"/>
      <c r="Y109" s="259"/>
      <c r="Z109" s="259"/>
      <c r="AA109" s="259"/>
      <c r="AB109" s="259"/>
      <c r="AC109" s="259"/>
      <c r="AD109" s="259"/>
      <c r="AE109" s="259"/>
      <c r="AF109" s="259"/>
      <c r="AG109" s="259"/>
      <c r="AH109" s="259"/>
      <c r="AI109" s="259"/>
      <c r="AJ109" s="259"/>
      <c r="AK109" s="259"/>
      <c r="AL109" s="259"/>
      <c r="AM109" s="259"/>
      <c r="AN109" s="259"/>
      <c r="AO109" s="259"/>
      <c r="AP109" s="259"/>
      <c r="AQ109" s="259"/>
      <c r="AR109" s="259"/>
      <c r="AS109" s="259"/>
      <c r="AT109" s="259"/>
      <c r="AU109" s="259"/>
    </row>
    <row r="110" spans="1:47" ht="45.75" customHeight="1" x14ac:dyDescent="0.6">
      <c r="A110" s="261"/>
      <c r="B110" s="261"/>
      <c r="C110" s="351"/>
      <c r="D110" s="351"/>
      <c r="E110" s="637" t="s">
        <v>100</v>
      </c>
      <c r="F110" s="637"/>
      <c r="G110" s="349">
        <f>SUM(C29:N29)</f>
        <v>0</v>
      </c>
      <c r="H110" s="352">
        <f>SUM(G100:G110)</f>
        <v>57520</v>
      </c>
      <c r="K110" s="174" t="str">
        <f>A54</f>
        <v>Cleaning Expenses</v>
      </c>
      <c r="L110" s="332">
        <f>SUM(C54:N54)</f>
        <v>300</v>
      </c>
      <c r="N110" s="131" t="str">
        <f t="shared" si="83"/>
        <v>Cleaning Expenses</v>
      </c>
      <c r="O110" s="332">
        <f>SUM(O54:Z54)</f>
        <v>300</v>
      </c>
      <c r="Q110" s="131" t="str">
        <f t="shared" si="84"/>
        <v>Cleaning Expenses</v>
      </c>
      <c r="R110" s="332">
        <f>SUM(AA54:AL54)</f>
        <v>300</v>
      </c>
      <c r="AN110" s="259"/>
      <c r="AO110" s="259"/>
      <c r="AP110" s="259"/>
    </row>
    <row r="111" spans="1:47" ht="42.75" customHeight="1" x14ac:dyDescent="0.65">
      <c r="A111" s="261"/>
      <c r="B111" s="261"/>
      <c r="C111" s="353">
        <f>SUM(C100:C110)</f>
        <v>7</v>
      </c>
      <c r="D111" s="353">
        <f>SUM(D100:D110)</f>
        <v>5230</v>
      </c>
      <c r="E111" s="353">
        <f>SUM(E100:E110)</f>
        <v>62760</v>
      </c>
      <c r="F111" s="354"/>
      <c r="G111" s="355" t="s">
        <v>106</v>
      </c>
      <c r="H111" s="356"/>
      <c r="K111" s="174" t="str">
        <f t="shared" ref="K111" si="97">A56</f>
        <v>Social Security</v>
      </c>
      <c r="L111" s="332">
        <f t="shared" ref="L111" si="98">SUM(C56:N56)</f>
        <v>0</v>
      </c>
      <c r="N111" s="131" t="str">
        <f t="shared" si="83"/>
        <v>Social Security</v>
      </c>
      <c r="O111" s="332">
        <f t="shared" ref="O111" si="99">SUM(O56:Z56)</f>
        <v>0</v>
      </c>
      <c r="Q111" s="131" t="str">
        <f t="shared" si="84"/>
        <v>Social Security</v>
      </c>
      <c r="R111" s="332">
        <f t="shared" ref="R111" si="100">SUM(AA56:AL56)</f>
        <v>0</v>
      </c>
    </row>
    <row r="112" spans="1:47" ht="12.75" customHeight="1" x14ac:dyDescent="0.6">
      <c r="A112" s="261"/>
      <c r="B112" s="261"/>
      <c r="C112" s="351"/>
      <c r="D112" s="351"/>
      <c r="E112" s="351"/>
      <c r="F112" s="351"/>
      <c r="G112" s="351"/>
      <c r="K112" s="174"/>
      <c r="L112" s="332"/>
    </row>
    <row r="113" spans="1:47" ht="12.75" customHeight="1" x14ac:dyDescent="0.6">
      <c r="A113" s="261"/>
      <c r="B113" s="261"/>
      <c r="C113" s="351"/>
      <c r="D113" s="351"/>
      <c r="E113" s="351"/>
      <c r="F113" s="351"/>
      <c r="G113" s="351"/>
      <c r="K113" s="174"/>
      <c r="L113" s="357"/>
    </row>
    <row r="114" spans="1:47" ht="33.75" customHeight="1" x14ac:dyDescent="0.4">
      <c r="A114" s="636" t="s">
        <v>107</v>
      </c>
      <c r="B114" s="636"/>
      <c r="C114" s="636"/>
      <c r="D114" s="636"/>
      <c r="E114" s="636"/>
      <c r="F114" s="636"/>
      <c r="G114" s="342"/>
      <c r="K114" s="189" t="s">
        <v>108</v>
      </c>
      <c r="L114" s="358">
        <f>SUM(L84:L111)</f>
        <v>107011.77630769231</v>
      </c>
      <c r="N114" s="189" t="str">
        <f t="shared" si="83"/>
        <v>Total Expenses</v>
      </c>
      <c r="O114" s="358">
        <f>SUM(O84:O111)</f>
        <v>502012.92307692306</v>
      </c>
      <c r="Q114" s="189" t="str">
        <f t="shared" ref="Q114" si="101">N114</f>
        <v>Total Expenses</v>
      </c>
      <c r="R114" s="358">
        <f>SUM(R84:R111)</f>
        <v>594905.23076923075</v>
      </c>
      <c r="AM114" s="263"/>
    </row>
    <row r="115" spans="1:47" ht="110.25" customHeight="1" x14ac:dyDescent="0.4">
      <c r="A115" s="255" t="s">
        <v>85</v>
      </c>
      <c r="B115" s="255" t="s">
        <v>86</v>
      </c>
      <c r="C115" s="344" t="s">
        <v>87</v>
      </c>
      <c r="D115" s="344" t="s">
        <v>88</v>
      </c>
      <c r="E115" s="344" t="s">
        <v>89</v>
      </c>
      <c r="F115" s="344" t="s">
        <v>90</v>
      </c>
      <c r="G115" s="344" t="s">
        <v>109</v>
      </c>
      <c r="K115" s="189" t="s">
        <v>123</v>
      </c>
      <c r="L115" s="358">
        <f>-L114+L83</f>
        <v>35262.223692307685</v>
      </c>
      <c r="N115" s="189" t="s">
        <v>123</v>
      </c>
      <c r="O115" s="359">
        <f>-O114+O83</f>
        <v>245987.07692307694</v>
      </c>
      <c r="Q115" s="189" t="s">
        <v>123</v>
      </c>
      <c r="R115" s="359">
        <f>-R114+R83</f>
        <v>402094.76923076925</v>
      </c>
      <c r="S115" s="341">
        <f>R115+O115+L115</f>
        <v>683344.06984615396</v>
      </c>
      <c r="T115" s="360">
        <f>S115-AM59</f>
        <v>4020.9476923078764</v>
      </c>
      <c r="AM115" s="263"/>
    </row>
    <row r="116" spans="1:47" ht="26.25" customHeight="1" x14ac:dyDescent="0.6">
      <c r="A116" s="261"/>
      <c r="B116" s="261"/>
      <c r="C116" s="351"/>
      <c r="D116" s="351"/>
      <c r="E116" s="351"/>
      <c r="F116" s="351"/>
      <c r="G116" s="351"/>
      <c r="L116" s="338">
        <f>L114-AN58</f>
        <v>12500.000000000015</v>
      </c>
      <c r="Q116" s="189">
        <f t="shared" ref="Q116" si="102">N116</f>
        <v>0</v>
      </c>
      <c r="AM116" s="263"/>
    </row>
    <row r="117" spans="1:47" s="253" customFormat="1" ht="77.25" customHeight="1" x14ac:dyDescent="0.35">
      <c r="A117" s="256" t="s">
        <v>110</v>
      </c>
      <c r="B117" s="257">
        <v>0</v>
      </c>
      <c r="C117" s="257">
        <v>0</v>
      </c>
      <c r="D117" s="257">
        <f>B117*C117</f>
        <v>0</v>
      </c>
      <c r="E117" s="257">
        <f>D117*12</f>
        <v>0</v>
      </c>
      <c r="F117" s="348" t="s">
        <v>96</v>
      </c>
      <c r="G117" s="257"/>
      <c r="H117" s="259"/>
      <c r="I117" s="259"/>
      <c r="J117" s="259"/>
      <c r="K117" s="197">
        <f>L114*20%</f>
        <v>21402.355261538465</v>
      </c>
      <c r="L117" s="361">
        <v>-237845.35745826189</v>
      </c>
      <c r="M117" s="361"/>
      <c r="N117" s="219"/>
      <c r="O117" s="361">
        <v>-134100.6900708343</v>
      </c>
      <c r="P117" s="361"/>
      <c r="Q117" s="219"/>
      <c r="R117" s="361"/>
      <c r="S117" s="259"/>
      <c r="T117" s="259"/>
      <c r="U117" s="259"/>
      <c r="V117" s="259"/>
      <c r="W117" s="259"/>
      <c r="X117" s="259"/>
      <c r="Y117" s="259"/>
      <c r="Z117" s="259"/>
      <c r="AA117" s="259"/>
      <c r="AB117" s="259"/>
      <c r="AC117" s="259"/>
      <c r="AD117" s="259"/>
      <c r="AE117" s="259"/>
      <c r="AF117" s="259"/>
      <c r="AG117" s="259"/>
      <c r="AH117" s="259"/>
      <c r="AI117" s="259"/>
      <c r="AJ117" s="259"/>
      <c r="AK117" s="259"/>
      <c r="AL117" s="259"/>
      <c r="AM117" s="259"/>
      <c r="AN117" s="263"/>
      <c r="AO117" s="263"/>
      <c r="AP117" s="263"/>
      <c r="AQ117" s="259"/>
      <c r="AR117" s="259"/>
      <c r="AS117" s="259"/>
      <c r="AT117" s="259"/>
      <c r="AU117" s="259"/>
    </row>
    <row r="118" spans="1:47" s="253" customFormat="1" ht="77.25" customHeight="1" x14ac:dyDescent="0.35">
      <c r="A118" s="256" t="s">
        <v>111</v>
      </c>
      <c r="B118" s="257">
        <v>0</v>
      </c>
      <c r="C118" s="257">
        <v>0</v>
      </c>
      <c r="D118" s="257">
        <f t="shared" ref="D118:D120" si="103">B118*C118</f>
        <v>0</v>
      </c>
      <c r="E118" s="257">
        <f>D118*12</f>
        <v>0</v>
      </c>
      <c r="F118" s="348" t="s">
        <v>96</v>
      </c>
      <c r="G118" s="257"/>
      <c r="H118" s="259"/>
      <c r="I118" s="259"/>
      <c r="J118" s="259"/>
      <c r="K118" s="197">
        <f>L114-K117</f>
        <v>85609.421046153846</v>
      </c>
      <c r="L118" s="259">
        <f>L117-L115</f>
        <v>-273107.5811505696</v>
      </c>
      <c r="M118" s="259"/>
      <c r="N118" s="197"/>
      <c r="O118" s="259">
        <f>O117-O115</f>
        <v>-380087.76699391124</v>
      </c>
      <c r="P118" s="259"/>
      <c r="Q118" s="197"/>
      <c r="R118" s="259"/>
      <c r="S118" s="259"/>
      <c r="T118" s="259"/>
      <c r="U118" s="259"/>
      <c r="V118" s="259"/>
      <c r="W118" s="259"/>
      <c r="X118" s="259"/>
      <c r="Y118" s="259"/>
      <c r="Z118" s="259"/>
      <c r="AA118" s="259"/>
      <c r="AB118" s="259"/>
      <c r="AC118" s="259"/>
      <c r="AD118" s="259"/>
      <c r="AE118" s="259"/>
      <c r="AF118" s="259"/>
      <c r="AG118" s="259"/>
      <c r="AH118" s="259"/>
      <c r="AI118" s="259"/>
      <c r="AJ118" s="259"/>
      <c r="AK118" s="259"/>
      <c r="AL118" s="259"/>
      <c r="AM118" s="259"/>
      <c r="AN118" s="259"/>
      <c r="AO118" s="259"/>
      <c r="AP118" s="259"/>
      <c r="AQ118" s="259"/>
      <c r="AR118" s="259"/>
      <c r="AS118" s="259"/>
      <c r="AT118" s="259"/>
      <c r="AU118" s="259"/>
    </row>
    <row r="119" spans="1:47" s="253" customFormat="1" ht="77.25" customHeight="1" x14ac:dyDescent="0.35">
      <c r="A119" s="256" t="s">
        <v>102</v>
      </c>
      <c r="B119" s="257">
        <v>0</v>
      </c>
      <c r="C119" s="257">
        <v>0</v>
      </c>
      <c r="D119" s="257">
        <f t="shared" si="103"/>
        <v>0</v>
      </c>
      <c r="E119" s="257">
        <f>D119*12</f>
        <v>0</v>
      </c>
      <c r="F119" s="348" t="s">
        <v>96</v>
      </c>
      <c r="G119" s="257"/>
      <c r="H119" s="259"/>
      <c r="I119" s="259"/>
      <c r="J119" s="259"/>
      <c r="K119" s="197"/>
      <c r="L119" s="259"/>
      <c r="M119" s="259"/>
      <c r="N119" s="197"/>
      <c r="O119" s="259"/>
      <c r="P119" s="259"/>
      <c r="Q119" s="197"/>
      <c r="R119" s="259"/>
      <c r="S119" s="259"/>
      <c r="T119" s="259"/>
      <c r="U119" s="259"/>
      <c r="V119" s="259"/>
      <c r="W119" s="259"/>
      <c r="X119" s="259"/>
      <c r="Y119" s="259"/>
      <c r="Z119" s="259"/>
      <c r="AA119" s="259"/>
      <c r="AB119" s="259"/>
      <c r="AC119" s="259"/>
      <c r="AD119" s="259"/>
      <c r="AE119" s="259"/>
      <c r="AF119" s="259"/>
      <c r="AG119" s="259"/>
      <c r="AH119" s="259"/>
      <c r="AI119" s="259"/>
      <c r="AJ119" s="259"/>
      <c r="AK119" s="259"/>
      <c r="AL119" s="259"/>
      <c r="AM119" s="259"/>
      <c r="AN119" s="259"/>
      <c r="AO119" s="259"/>
      <c r="AP119" s="259"/>
      <c r="AQ119" s="259"/>
      <c r="AR119" s="259"/>
      <c r="AS119" s="259"/>
      <c r="AT119" s="259"/>
      <c r="AU119" s="259"/>
    </row>
    <row r="120" spans="1:47" s="253" customFormat="1" ht="77.25" customHeight="1" x14ac:dyDescent="0.35">
      <c r="A120" s="256" t="s">
        <v>112</v>
      </c>
      <c r="B120" s="257">
        <v>0</v>
      </c>
      <c r="C120" s="257">
        <v>0</v>
      </c>
      <c r="D120" s="257">
        <f t="shared" si="103"/>
        <v>0</v>
      </c>
      <c r="E120" s="257">
        <f>D120*12</f>
        <v>0</v>
      </c>
      <c r="F120" s="257"/>
      <c r="G120" s="257"/>
      <c r="H120" s="259"/>
      <c r="I120" s="259"/>
      <c r="J120" s="259"/>
      <c r="K120" s="197"/>
      <c r="L120" s="259"/>
      <c r="M120" s="259"/>
      <c r="N120" s="197"/>
      <c r="O120" s="259"/>
      <c r="P120" s="259"/>
      <c r="Q120" s="197"/>
      <c r="R120" s="259"/>
      <c r="S120" s="259"/>
      <c r="T120" s="259"/>
      <c r="U120" s="259"/>
      <c r="V120" s="259"/>
      <c r="W120" s="259"/>
      <c r="X120" s="259"/>
      <c r="Y120" s="259"/>
      <c r="Z120" s="259"/>
      <c r="AA120" s="259"/>
      <c r="AB120" s="259"/>
      <c r="AC120" s="259"/>
      <c r="AD120" s="259"/>
      <c r="AE120" s="259"/>
      <c r="AF120" s="259"/>
      <c r="AG120" s="259"/>
      <c r="AH120" s="259"/>
      <c r="AI120" s="259"/>
      <c r="AJ120" s="259"/>
      <c r="AK120" s="259"/>
      <c r="AL120" s="259"/>
      <c r="AM120" s="259"/>
      <c r="AN120" s="259"/>
      <c r="AO120" s="259"/>
      <c r="AP120" s="259"/>
      <c r="AQ120" s="259"/>
      <c r="AR120" s="259"/>
      <c r="AS120" s="259"/>
      <c r="AT120" s="259"/>
      <c r="AU120" s="259"/>
    </row>
    <row r="121" spans="1:47" s="253" customFormat="1" ht="77.25" customHeight="1" x14ac:dyDescent="0.35">
      <c r="A121" s="256"/>
      <c r="B121" s="257"/>
      <c r="C121" s="362">
        <f>SUM(C117:C120)</f>
        <v>0</v>
      </c>
      <c r="D121" s="362">
        <f>SUM(D117:D120)</f>
        <v>0</v>
      </c>
      <c r="E121" s="362">
        <f>SUM(E117:E120)</f>
        <v>0</v>
      </c>
      <c r="F121" s="257">
        <f>E121+E111</f>
        <v>62760</v>
      </c>
      <c r="G121" s="257"/>
      <c r="H121" s="259"/>
      <c r="I121" s="259"/>
      <c r="J121" s="259"/>
      <c r="K121" s="197"/>
      <c r="L121" s="259"/>
      <c r="M121" s="259"/>
      <c r="N121" s="197"/>
      <c r="O121" s="259"/>
      <c r="P121" s="259"/>
      <c r="Q121" s="197"/>
      <c r="R121" s="259"/>
      <c r="S121" s="259"/>
      <c r="T121" s="259"/>
      <c r="U121" s="259"/>
      <c r="V121" s="259"/>
      <c r="W121" s="259"/>
      <c r="X121" s="259"/>
      <c r="Y121" s="259"/>
      <c r="Z121" s="259"/>
      <c r="AA121" s="259"/>
      <c r="AB121" s="259"/>
      <c r="AC121" s="259"/>
      <c r="AD121" s="259"/>
      <c r="AE121" s="259"/>
      <c r="AF121" s="259"/>
      <c r="AG121" s="259"/>
      <c r="AH121" s="259"/>
      <c r="AI121" s="259"/>
      <c r="AJ121" s="259"/>
      <c r="AK121" s="259"/>
      <c r="AL121" s="259"/>
      <c r="AM121" s="259"/>
      <c r="AN121" s="259"/>
      <c r="AO121" s="259"/>
      <c r="AP121" s="259"/>
      <c r="AQ121" s="259"/>
      <c r="AR121" s="259"/>
      <c r="AS121" s="259"/>
      <c r="AT121" s="259"/>
      <c r="AU121" s="259"/>
    </row>
    <row r="122" spans="1:47" s="253" customFormat="1" ht="77.25" customHeight="1" x14ac:dyDescent="0.35">
      <c r="A122" s="256" t="s">
        <v>113</v>
      </c>
      <c r="B122" s="257"/>
      <c r="C122" s="362">
        <f>C111</f>
        <v>7</v>
      </c>
      <c r="D122" s="362">
        <f>D111</f>
        <v>5230</v>
      </c>
      <c r="E122" s="362">
        <f>E111</f>
        <v>62760</v>
      </c>
      <c r="F122" s="363"/>
      <c r="G122" s="363" t="s">
        <v>114</v>
      </c>
      <c r="H122" s="364"/>
      <c r="I122" s="259"/>
      <c r="J122" s="259"/>
      <c r="K122" s="197"/>
      <c r="L122" s="259"/>
      <c r="M122" s="259"/>
      <c r="N122" s="197"/>
      <c r="O122" s="259"/>
      <c r="P122" s="259"/>
      <c r="Q122" s="197"/>
      <c r="R122" s="259"/>
      <c r="S122" s="259"/>
      <c r="T122" s="259"/>
      <c r="U122" s="259"/>
      <c r="V122" s="259"/>
      <c r="W122" s="259"/>
      <c r="X122" s="259"/>
      <c r="Y122" s="259"/>
      <c r="Z122" s="259"/>
      <c r="AA122" s="259"/>
      <c r="AB122" s="259"/>
      <c r="AC122" s="259"/>
      <c r="AD122" s="259"/>
      <c r="AE122" s="259"/>
      <c r="AF122" s="259"/>
      <c r="AG122" s="259"/>
      <c r="AH122" s="259"/>
      <c r="AI122" s="259"/>
      <c r="AJ122" s="259"/>
      <c r="AK122" s="259"/>
      <c r="AL122" s="259"/>
      <c r="AM122" s="259"/>
      <c r="AN122" s="259"/>
      <c r="AO122" s="259"/>
      <c r="AP122" s="259"/>
      <c r="AQ122" s="259"/>
      <c r="AR122" s="259"/>
      <c r="AS122" s="259"/>
      <c r="AT122" s="259"/>
      <c r="AU122" s="259"/>
    </row>
    <row r="123" spans="1:47" ht="12.75" customHeight="1" x14ac:dyDescent="0.6">
      <c r="A123" s="261"/>
      <c r="B123" s="261"/>
      <c r="C123" s="351"/>
      <c r="D123" s="351"/>
      <c r="E123" s="351"/>
      <c r="F123" s="351"/>
      <c r="G123" s="351"/>
      <c r="AM123" s="263"/>
      <c r="AN123" s="259"/>
      <c r="AO123" s="259"/>
      <c r="AP123" s="259"/>
    </row>
    <row r="124" spans="1:47" ht="33.75" customHeight="1" x14ac:dyDescent="0.4">
      <c r="B124" s="254"/>
      <c r="C124" s="342" t="s">
        <v>115</v>
      </c>
      <c r="D124" s="342"/>
      <c r="E124" s="342"/>
      <c r="F124" s="342"/>
      <c r="G124" s="342"/>
      <c r="AM124" s="263"/>
    </row>
    <row r="125" spans="1:47" ht="110.25" customHeight="1" x14ac:dyDescent="0.4">
      <c r="A125" s="255" t="s">
        <v>85</v>
      </c>
      <c r="B125" s="255" t="s">
        <v>86</v>
      </c>
      <c r="C125" s="344" t="s">
        <v>87</v>
      </c>
      <c r="D125" s="344" t="s">
        <v>88</v>
      </c>
      <c r="E125" s="344" t="s">
        <v>89</v>
      </c>
      <c r="F125" s="344" t="s">
        <v>90</v>
      </c>
      <c r="G125" s="344" t="s">
        <v>109</v>
      </c>
      <c r="AC125" s="365" t="s">
        <v>116</v>
      </c>
      <c r="AD125" s="366">
        <f>AD124</f>
        <v>0</v>
      </c>
      <c r="AE125" s="366">
        <f>AD125+AE124</f>
        <v>0</v>
      </c>
      <c r="AF125" s="366">
        <f>AE125+AF124</f>
        <v>0</v>
      </c>
      <c r="AG125" s="366">
        <f>AF125+AG124</f>
        <v>0</v>
      </c>
      <c r="AH125" s="366">
        <f>AG125+AH124</f>
        <v>0</v>
      </c>
      <c r="AI125" s="366">
        <f t="shared" ref="AI125:AL125" si="104">AH125+AI124</f>
        <v>0</v>
      </c>
      <c r="AJ125" s="366">
        <f t="shared" si="104"/>
        <v>0</v>
      </c>
      <c r="AK125" s="366">
        <f t="shared" si="104"/>
        <v>0</v>
      </c>
      <c r="AL125" s="366">
        <f t="shared" si="104"/>
        <v>0</v>
      </c>
      <c r="AM125" s="263"/>
    </row>
    <row r="126" spans="1:47" s="253" customFormat="1" ht="77.25" customHeight="1" x14ac:dyDescent="0.35">
      <c r="A126" s="256" t="s">
        <v>117</v>
      </c>
      <c r="B126" s="257">
        <v>800</v>
      </c>
      <c r="C126" s="257">
        <v>0</v>
      </c>
      <c r="D126" s="257">
        <f>B126*C126</f>
        <v>0</v>
      </c>
      <c r="E126" s="257">
        <f>D126*12</f>
        <v>0</v>
      </c>
      <c r="F126" s="348" t="s">
        <v>96</v>
      </c>
      <c r="G126" s="257"/>
      <c r="H126" s="259"/>
      <c r="I126" s="259"/>
      <c r="J126" s="259"/>
      <c r="K126" s="197"/>
      <c r="L126" s="259"/>
      <c r="M126" s="259"/>
      <c r="N126" s="197"/>
      <c r="O126" s="259"/>
      <c r="P126" s="259"/>
      <c r="Q126" s="197"/>
      <c r="R126" s="259"/>
      <c r="S126" s="259"/>
      <c r="T126" s="259"/>
      <c r="U126" s="259"/>
      <c r="V126" s="259"/>
      <c r="W126" s="259"/>
      <c r="X126" s="259"/>
      <c r="Y126" s="259"/>
      <c r="Z126" s="259"/>
      <c r="AA126" s="259"/>
      <c r="AB126" s="259"/>
      <c r="AC126" s="259"/>
      <c r="AD126" s="259"/>
      <c r="AE126" s="259"/>
      <c r="AF126" s="259"/>
      <c r="AG126" s="259"/>
      <c r="AH126" s="259"/>
      <c r="AI126" s="259"/>
      <c r="AJ126" s="259"/>
      <c r="AK126" s="259"/>
      <c r="AL126" s="259"/>
      <c r="AM126" s="259"/>
      <c r="AN126" s="263"/>
      <c r="AO126" s="263"/>
      <c r="AP126" s="263"/>
      <c r="AQ126" s="259"/>
      <c r="AR126" s="259"/>
      <c r="AS126" s="259"/>
      <c r="AT126" s="259"/>
      <c r="AU126" s="259"/>
    </row>
    <row r="127" spans="1:47" s="253" customFormat="1" ht="77.25" customHeight="1" x14ac:dyDescent="0.35">
      <c r="A127" s="256" t="s">
        <v>118</v>
      </c>
      <c r="B127" s="257">
        <v>450</v>
      </c>
      <c r="C127" s="257">
        <v>0</v>
      </c>
      <c r="D127" s="257">
        <f t="shared" ref="D127:D128" si="105">B127*C127</f>
        <v>0</v>
      </c>
      <c r="E127" s="257">
        <f t="shared" ref="E127:E128" si="106">D127*12</f>
        <v>0</v>
      </c>
      <c r="F127" s="348" t="s">
        <v>96</v>
      </c>
      <c r="G127" s="257"/>
      <c r="H127" s="259"/>
      <c r="I127" s="259"/>
      <c r="J127" s="259"/>
      <c r="K127" s="197"/>
      <c r="L127" s="259"/>
      <c r="M127" s="259"/>
      <c r="N127" s="197"/>
      <c r="O127" s="259"/>
      <c r="P127" s="259"/>
      <c r="Q127" s="197"/>
      <c r="R127" s="259"/>
      <c r="S127" s="259"/>
      <c r="T127" s="259"/>
      <c r="U127" s="259"/>
      <c r="V127" s="259"/>
      <c r="W127" s="259"/>
      <c r="X127" s="259"/>
      <c r="Y127" s="259"/>
      <c r="Z127" s="259"/>
      <c r="AA127" s="259"/>
      <c r="AB127" s="259"/>
      <c r="AC127" s="259"/>
      <c r="AD127" s="259"/>
      <c r="AE127" s="259"/>
      <c r="AF127" s="259"/>
      <c r="AG127" s="259"/>
      <c r="AH127" s="259"/>
      <c r="AI127" s="259"/>
      <c r="AJ127" s="259"/>
      <c r="AK127" s="259"/>
      <c r="AL127" s="259"/>
      <c r="AM127" s="259"/>
      <c r="AN127" s="259"/>
      <c r="AO127" s="259"/>
      <c r="AP127" s="259"/>
      <c r="AQ127" s="259"/>
      <c r="AR127" s="259"/>
      <c r="AS127" s="259"/>
      <c r="AT127" s="259"/>
      <c r="AU127" s="259"/>
    </row>
    <row r="128" spans="1:47" s="253" customFormat="1" ht="77.25" customHeight="1" x14ac:dyDescent="0.35">
      <c r="A128" s="256" t="s">
        <v>119</v>
      </c>
      <c r="B128" s="257">
        <v>1400</v>
      </c>
      <c r="C128" s="257">
        <v>0</v>
      </c>
      <c r="D128" s="257">
        <f t="shared" si="105"/>
        <v>0</v>
      </c>
      <c r="E128" s="257">
        <f t="shared" si="106"/>
        <v>0</v>
      </c>
      <c r="F128" s="348" t="s">
        <v>96</v>
      </c>
      <c r="G128" s="257"/>
      <c r="H128" s="259"/>
      <c r="I128" s="259"/>
      <c r="J128" s="259"/>
      <c r="K128" s="197"/>
      <c r="L128" s="259"/>
      <c r="M128" s="259"/>
      <c r="N128" s="197"/>
      <c r="O128" s="259"/>
      <c r="P128" s="259"/>
      <c r="Q128" s="197"/>
      <c r="R128" s="259"/>
      <c r="S128" s="259"/>
      <c r="T128" s="259"/>
      <c r="U128" s="259"/>
      <c r="V128" s="259"/>
      <c r="W128" s="259"/>
      <c r="X128" s="259"/>
      <c r="Y128" s="259"/>
      <c r="Z128" s="259"/>
      <c r="AA128" s="259"/>
      <c r="AB128" s="259"/>
      <c r="AC128" s="259"/>
      <c r="AD128" s="259"/>
      <c r="AE128" s="259"/>
      <c r="AF128" s="259"/>
      <c r="AG128" s="259"/>
      <c r="AH128" s="259"/>
      <c r="AI128" s="259"/>
      <c r="AJ128" s="259"/>
      <c r="AK128" s="259"/>
      <c r="AL128" s="259"/>
      <c r="AM128" s="259"/>
      <c r="AN128" s="259"/>
      <c r="AO128" s="259"/>
      <c r="AP128" s="259"/>
      <c r="AQ128" s="259"/>
      <c r="AR128" s="259"/>
      <c r="AS128" s="259"/>
      <c r="AT128" s="259"/>
      <c r="AU128" s="259"/>
    </row>
    <row r="129" spans="1:47" s="253" customFormat="1" ht="77.25" customHeight="1" x14ac:dyDescent="0.35">
      <c r="A129" s="256" t="s">
        <v>120</v>
      </c>
      <c r="B129" s="257">
        <f>14</f>
        <v>14</v>
      </c>
      <c r="C129" s="257"/>
      <c r="D129" s="257">
        <v>0</v>
      </c>
      <c r="E129" s="257">
        <f>D129*12</f>
        <v>0</v>
      </c>
      <c r="F129" s="257"/>
      <c r="G129" s="257"/>
      <c r="H129" s="259"/>
      <c r="I129" s="259"/>
      <c r="J129" s="259"/>
      <c r="K129" s="197"/>
      <c r="L129" s="259"/>
      <c r="M129" s="259"/>
      <c r="N129" s="197"/>
      <c r="O129" s="259"/>
      <c r="P129" s="259"/>
      <c r="Q129" s="197"/>
      <c r="R129" s="259"/>
      <c r="S129" s="259"/>
      <c r="T129" s="259"/>
      <c r="U129" s="259"/>
      <c r="V129" s="259"/>
      <c r="W129" s="259"/>
      <c r="X129" s="259"/>
      <c r="Y129" s="259"/>
      <c r="Z129" s="259"/>
      <c r="AA129" s="259"/>
      <c r="AB129" s="259"/>
      <c r="AC129" s="259"/>
      <c r="AD129" s="259"/>
      <c r="AE129" s="259"/>
      <c r="AF129" s="259"/>
      <c r="AG129" s="259"/>
      <c r="AH129" s="259"/>
      <c r="AI129" s="259"/>
      <c r="AJ129" s="259"/>
      <c r="AK129" s="259"/>
      <c r="AL129" s="259"/>
      <c r="AM129" s="259"/>
      <c r="AN129" s="259"/>
      <c r="AO129" s="259"/>
      <c r="AP129" s="259"/>
      <c r="AQ129" s="259"/>
      <c r="AR129" s="259"/>
      <c r="AS129" s="259"/>
      <c r="AT129" s="259"/>
      <c r="AU129" s="259"/>
    </row>
    <row r="130" spans="1:47" s="253" customFormat="1" ht="77.25" customHeight="1" x14ac:dyDescent="0.35">
      <c r="A130" s="256" t="s">
        <v>121</v>
      </c>
      <c r="B130" s="257"/>
      <c r="C130" s="362">
        <f>SUM(C126:C129)</f>
        <v>0</v>
      </c>
      <c r="D130" s="362">
        <f>D122</f>
        <v>5230</v>
      </c>
      <c r="E130" s="362">
        <f>E122</f>
        <v>62760</v>
      </c>
      <c r="F130" s="257"/>
      <c r="G130" s="257"/>
      <c r="H130" s="259"/>
      <c r="I130" s="259"/>
      <c r="J130" s="259"/>
      <c r="K130" s="197"/>
      <c r="L130" s="259"/>
      <c r="M130" s="259"/>
      <c r="N130" s="197"/>
      <c r="O130" s="259"/>
      <c r="P130" s="259"/>
      <c r="Q130" s="197"/>
      <c r="R130" s="259"/>
      <c r="S130" s="259"/>
      <c r="T130" s="259"/>
      <c r="U130" s="259"/>
      <c r="V130" s="259"/>
      <c r="W130" s="259"/>
      <c r="X130" s="259"/>
      <c r="Y130" s="259"/>
      <c r="Z130" s="259"/>
      <c r="AA130" s="259"/>
      <c r="AB130" s="259"/>
      <c r="AC130" s="259"/>
      <c r="AD130" s="259"/>
      <c r="AE130" s="259"/>
      <c r="AF130" s="259"/>
      <c r="AG130" s="259"/>
      <c r="AH130" s="259"/>
      <c r="AI130" s="259"/>
      <c r="AJ130" s="259"/>
      <c r="AK130" s="259"/>
      <c r="AL130" s="259"/>
      <c r="AM130" s="259"/>
      <c r="AN130" s="259"/>
      <c r="AO130" s="259"/>
      <c r="AP130" s="259"/>
      <c r="AQ130" s="259"/>
      <c r="AR130" s="259"/>
      <c r="AS130" s="259"/>
      <c r="AT130" s="259"/>
      <c r="AU130" s="259"/>
    </row>
    <row r="131" spans="1:47" ht="39.75" customHeight="1" x14ac:dyDescent="1.4">
      <c r="B131" s="261"/>
      <c r="C131" s="351"/>
      <c r="D131" s="351"/>
      <c r="E131" s="351"/>
      <c r="F131" s="367">
        <f>SUM(C28:AL28)</f>
        <v>294000</v>
      </c>
      <c r="G131" s="351">
        <f>F131-AM28</f>
        <v>0</v>
      </c>
      <c r="H131" s="263"/>
      <c r="I131" s="263"/>
      <c r="J131" s="263"/>
      <c r="K131" s="226"/>
      <c r="L131" s="263"/>
      <c r="M131" s="263"/>
      <c r="N131" s="226"/>
      <c r="O131" s="263"/>
      <c r="P131" s="263"/>
      <c r="Q131" s="226"/>
      <c r="R131" s="263"/>
      <c r="S131" s="263"/>
      <c r="T131" s="263"/>
      <c r="U131" s="263"/>
      <c r="V131" s="263"/>
      <c r="W131" s="263"/>
      <c r="X131" s="263"/>
      <c r="Y131" s="263"/>
      <c r="Z131" s="263"/>
      <c r="AA131" s="263"/>
      <c r="AB131" s="263"/>
      <c r="AC131" s="263"/>
      <c r="AD131" s="263"/>
      <c r="AE131" s="263"/>
      <c r="AF131" s="263"/>
      <c r="AG131" s="263"/>
      <c r="AH131" s="263"/>
      <c r="AI131" s="263"/>
      <c r="AJ131" s="263"/>
      <c r="AK131" s="263"/>
      <c r="AL131" s="263"/>
      <c r="AM131" s="263"/>
      <c r="AN131" s="259"/>
      <c r="AO131" s="259"/>
      <c r="AP131" s="259"/>
    </row>
    <row r="132" spans="1:47" ht="12.75" customHeight="1" x14ac:dyDescent="0.6">
      <c r="A132" s="261"/>
      <c r="B132" s="261"/>
      <c r="C132" s="351"/>
      <c r="D132" s="351"/>
      <c r="E132" s="351"/>
      <c r="H132" s="263"/>
      <c r="I132" s="263"/>
      <c r="J132" s="263"/>
      <c r="K132" s="226"/>
      <c r="L132" s="263"/>
      <c r="M132" s="263"/>
      <c r="N132" s="226"/>
      <c r="O132" s="263"/>
      <c r="P132" s="263"/>
      <c r="Q132" s="226"/>
      <c r="R132" s="263"/>
      <c r="S132" s="263"/>
      <c r="T132" s="263"/>
      <c r="U132" s="263"/>
      <c r="V132" s="263"/>
      <c r="W132" s="263"/>
      <c r="X132" s="263"/>
      <c r="Y132" s="263"/>
      <c r="Z132" s="263"/>
      <c r="AA132" s="263"/>
      <c r="AB132" s="263"/>
      <c r="AC132" s="263"/>
      <c r="AD132" s="263"/>
      <c r="AE132" s="263"/>
      <c r="AF132" s="263"/>
      <c r="AG132" s="263"/>
      <c r="AH132" s="263"/>
      <c r="AI132" s="263"/>
      <c r="AJ132" s="263"/>
      <c r="AK132" s="263"/>
      <c r="AL132" s="263"/>
      <c r="AM132" s="263"/>
    </row>
    <row r="133" spans="1:47" ht="36.75" customHeight="1" x14ac:dyDescent="0.4">
      <c r="A133" s="638" t="s">
        <v>122</v>
      </c>
      <c r="B133" s="638"/>
      <c r="C133" s="368">
        <f>C111+C121+C130</f>
        <v>7</v>
      </c>
      <c r="H133" s="263"/>
      <c r="I133" s="263"/>
      <c r="J133" s="263"/>
      <c r="K133" s="226"/>
      <c r="L133" s="263"/>
      <c r="M133" s="263"/>
      <c r="N133" s="226"/>
      <c r="O133" s="263"/>
      <c r="P133" s="263"/>
      <c r="Q133" s="226"/>
      <c r="R133" s="263"/>
      <c r="S133" s="263"/>
      <c r="T133" s="263"/>
      <c r="U133" s="263"/>
      <c r="V133" s="263"/>
      <c r="W133" s="263"/>
      <c r="X133" s="263"/>
      <c r="Y133" s="263"/>
      <c r="Z133" s="263"/>
      <c r="AA133" s="263"/>
      <c r="AB133" s="263"/>
      <c r="AC133" s="263"/>
      <c r="AD133" s="263"/>
      <c r="AE133" s="263"/>
      <c r="AF133" s="263"/>
      <c r="AG133" s="263"/>
      <c r="AH133" s="263"/>
      <c r="AI133" s="263"/>
      <c r="AJ133" s="263"/>
      <c r="AK133" s="263"/>
      <c r="AL133" s="263"/>
      <c r="AM133" s="263"/>
    </row>
    <row r="134" spans="1:47" ht="12.75" customHeight="1" x14ac:dyDescent="0.4"/>
  </sheetData>
  <mergeCells count="11">
    <mergeCell ref="A96:F96"/>
    <mergeCell ref="A97:F97"/>
    <mergeCell ref="E110:F110"/>
    <mergeCell ref="A114:F114"/>
    <mergeCell ref="A133:B133"/>
    <mergeCell ref="AS53:AU53"/>
    <mergeCell ref="A1:AM1"/>
    <mergeCell ref="C9:N9"/>
    <mergeCell ref="O9:Z9"/>
    <mergeCell ref="AA9:AL9"/>
    <mergeCell ref="C32:AM3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year summary</vt:lpstr>
      <vt:lpstr>year 1</vt:lpstr>
      <vt:lpstr>year 2</vt:lpstr>
      <vt:lpstr>KWT</vt:lpstr>
      <vt:lpstr>250 calc</vt:lpstr>
      <vt:lpstr>1000 calc</vt:lpstr>
      <vt:lpstr>Discount</vt:lpstr>
      <vt:lpstr>Sheet1</vt:lpstr>
      <vt:lpstr>year 3</vt:lpstr>
      <vt:lpstr>Total</vt:lpstr>
      <vt:lpstr>General</vt:lpstr>
      <vt:lpstr>'1000 calc'!Print_Area</vt:lpstr>
      <vt:lpstr>'250 calc'!Print_Area</vt:lpstr>
      <vt:lpstr>KWT!Print_Area</vt:lpstr>
      <vt:lpstr>'year 1'!Print_Area</vt:lpstr>
      <vt:lpstr>'year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Nabil Iskandarani</dc:creator>
  <cp:lastModifiedBy>Ahmed Abdalla</cp:lastModifiedBy>
  <cp:lastPrinted>2024-04-13T14:47:08Z</cp:lastPrinted>
  <dcterms:created xsi:type="dcterms:W3CDTF">2021-03-21T11:39:34Z</dcterms:created>
  <dcterms:modified xsi:type="dcterms:W3CDTF">2024-11-03T11:56:03Z</dcterms:modified>
</cp:coreProperties>
</file>