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675" firstSheet="1" activeTab="5"/>
  </bookViews>
  <sheets>
    <sheet name="Assumptions" sheetId="4" r:id="rId1"/>
    <sheet name="Revenues and Expenses" sheetId="1" r:id="rId2"/>
    <sheet name="Profit and Loss (P&amp;L) Statement" sheetId="3" r:id="rId3"/>
    <sheet name="Cash Flow Statement" sheetId="5" r:id="rId4"/>
    <sheet name="Balance Sheet" sheetId="6" r:id="rId5"/>
    <sheet name="Financial Summary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<sst xmlns="http://schemas.openxmlformats.org/spreadsheetml/2006/main" count="227" uniqueCount="104">
  <si>
    <t>Study Assumptions</t>
  </si>
  <si>
    <t>Currency</t>
  </si>
  <si>
    <t>Dollar</t>
  </si>
  <si>
    <t>Annual Inflation</t>
  </si>
  <si>
    <t>Years</t>
  </si>
  <si>
    <t>Discount Rate</t>
  </si>
  <si>
    <t>Assumed Useful Life of Assets</t>
  </si>
  <si>
    <t>سنوات</t>
  </si>
  <si>
    <t>Income Tax Rate</t>
  </si>
  <si>
    <t>Sales Growth Rate</t>
  </si>
  <si>
    <t>Salaries</t>
  </si>
  <si>
    <t>Monthly</t>
  </si>
  <si>
    <t>Office Rent</t>
  </si>
  <si>
    <t>Bills</t>
  </si>
  <si>
    <t>Marketing and Advertising</t>
  </si>
  <si>
    <t>Other Expenses</t>
  </si>
  <si>
    <t>Initial Fixed Assets</t>
  </si>
  <si>
    <t>Starting</t>
  </si>
  <si>
    <t>الشهر</t>
  </si>
  <si>
    <t>First Year</t>
  </si>
  <si>
    <t>Second Year</t>
  </si>
  <si>
    <t>Third Year</t>
  </si>
  <si>
    <t>Fourth Year</t>
  </si>
  <si>
    <t>Fifth Year</t>
  </si>
  <si>
    <t>5 Years</t>
  </si>
  <si>
    <t>Tier 1 Revenue</t>
  </si>
  <si>
    <t>Cost of Package1</t>
  </si>
  <si>
    <t>Number of Units</t>
  </si>
  <si>
    <t>Retail Price</t>
  </si>
  <si>
    <t>Unit Cost</t>
  </si>
  <si>
    <t>Tier 2 Revenue</t>
  </si>
  <si>
    <t>Cost of Package2</t>
  </si>
  <si>
    <t>Tier 3 Revenue</t>
  </si>
  <si>
    <t>Cost of Package3</t>
  </si>
  <si>
    <t>Tier 4 Revenue</t>
  </si>
  <si>
    <t>Cost of Package 4</t>
  </si>
  <si>
    <t>Smart Desk Revenue</t>
  </si>
  <si>
    <t>Hardware Costs</t>
  </si>
  <si>
    <t>Top Line</t>
  </si>
  <si>
    <t>Total Costs</t>
  </si>
  <si>
    <t>Gross Profit</t>
  </si>
  <si>
    <t>Month</t>
  </si>
  <si>
    <t>%</t>
  </si>
  <si>
    <t>Income</t>
  </si>
  <si>
    <t>Direct Costs</t>
  </si>
  <si>
    <t>Equipment Depreciation</t>
  </si>
  <si>
    <t>Total Operating Expenses</t>
  </si>
  <si>
    <t>Net Profit Before Tax (NPBT</t>
  </si>
  <si>
    <t>Tax</t>
  </si>
  <si>
    <t>Net Profit</t>
  </si>
  <si>
    <t>Cumulative Net Profit</t>
  </si>
  <si>
    <t>Discounted Net Profit</t>
  </si>
  <si>
    <t>Return on Sales %</t>
  </si>
  <si>
    <t>Annual Return on Investment %ROI%</t>
  </si>
  <si>
    <t>Break-Even Point</t>
  </si>
  <si>
    <t>Payback Period</t>
  </si>
  <si>
    <t>Months</t>
  </si>
  <si>
    <t>Required Capital</t>
  </si>
  <si>
    <t>Year2</t>
  </si>
  <si>
    <t>Year3</t>
  </si>
  <si>
    <t>Year4</t>
  </si>
  <si>
    <t>Year5</t>
  </si>
  <si>
    <t>Net Cash Flow from Operating Activities</t>
  </si>
  <si>
    <t>Cash Receipts</t>
  </si>
  <si>
    <t>Offerings</t>
  </si>
  <si>
    <t>Payroll</t>
  </si>
  <si>
    <t>Net Cash Flow from Investing Activities</t>
  </si>
  <si>
    <t>Tooling for Device Manufacturing</t>
  </si>
  <si>
    <t>Investment Received</t>
  </si>
  <si>
    <t>Net Cash Flow</t>
  </si>
  <si>
    <t>Cumulative Cash Flow</t>
  </si>
  <si>
    <t>Balance Sheet - Year 1 End</t>
  </si>
  <si>
    <t>Assets</t>
  </si>
  <si>
    <t>Liabilities</t>
  </si>
  <si>
    <t>Cash</t>
  </si>
  <si>
    <t>Suppliers Balance</t>
  </si>
  <si>
    <t>Accounts Receivable (A/R)</t>
  </si>
  <si>
    <t>Salaries Payable</t>
  </si>
  <si>
    <t>Fixed Assets</t>
  </si>
  <si>
    <t>Rent Payable</t>
  </si>
  <si>
    <t>Accumulated Depreciation</t>
  </si>
  <si>
    <t>Utilities Payable</t>
  </si>
  <si>
    <t>Inventory</t>
  </si>
  <si>
    <t>Accrued Marketing &amp; Advertising</t>
  </si>
  <si>
    <t>Other Accrued Expenses</t>
  </si>
  <si>
    <t>Owner's Equity</t>
  </si>
  <si>
    <t>Profit for Year 1</t>
  </si>
  <si>
    <t>Total Assets</t>
  </si>
  <si>
    <t>Total Liabilities</t>
  </si>
  <si>
    <t>Difference</t>
  </si>
  <si>
    <t>Balance Sheet - Year 2 End</t>
  </si>
  <si>
    <t>Profit for Year 2</t>
  </si>
  <si>
    <t>الفرق</t>
  </si>
  <si>
    <t>Balance Sheet - Year 3 End</t>
  </si>
  <si>
    <t>Profit for Year 3</t>
  </si>
  <si>
    <t>Balance Sheet - Year 4 End</t>
  </si>
  <si>
    <t>Profit for Year 4</t>
  </si>
  <si>
    <t>Balance Sheet - Year 5 End</t>
  </si>
  <si>
    <t>Profit for Year 5</t>
  </si>
  <si>
    <t>Year</t>
  </si>
  <si>
    <t>Return on Sales % (ROS %)</t>
  </si>
  <si>
    <t>Return on Investment % (ROI %)</t>
  </si>
  <si>
    <t>Minimum Required Capital</t>
  </si>
  <si>
    <t>Revenue Break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</si>
</sst>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  <numFmt numFmtId="178" formatCode="_-* #,##0_-;\-* #,##0_-;_-* &quot;-&quot;??_-;_-@_-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name val="Calibri"/>
      <charset val="134"/>
      <scheme val="minor"/>
    </font>
    <font>
      <sz val="8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35" applyNumberFormat="0" applyAlignment="0" applyProtection="0">
      <alignment vertical="center"/>
    </xf>
    <xf numFmtId="0" fontId="15" fillId="6" borderId="36" applyNumberFormat="0" applyAlignment="0" applyProtection="0">
      <alignment vertical="center"/>
    </xf>
    <xf numFmtId="0" fontId="16" fillId="6" borderId="35" applyNumberFormat="0" applyAlignment="0" applyProtection="0">
      <alignment vertical="center"/>
    </xf>
    <xf numFmtId="0" fontId="17" fillId="7" borderId="37" applyNumberFormat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9" fontId="0" fillId="0" borderId="5" xfId="0" applyNumberFormat="1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78" fontId="0" fillId="0" borderId="5" xfId="1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178" fontId="0" fillId="0" borderId="8" xfId="1" applyNumberFormat="1" applyFont="1" applyBorder="1" applyAlignment="1">
      <alignment horizontal="center"/>
    </xf>
    <xf numFmtId="178" fontId="0" fillId="0" borderId="9" xfId="1" applyNumberFormat="1" applyFont="1" applyBorder="1" applyAlignment="1">
      <alignment horizontal="center"/>
    </xf>
    <xf numFmtId="178" fontId="0" fillId="0" borderId="0" xfId="1" applyNumberFormat="1" applyFont="1"/>
    <xf numFmtId="0" fontId="0" fillId="0" borderId="4" xfId="0" applyBorder="1"/>
    <xf numFmtId="178" fontId="0" fillId="0" borderId="5" xfId="1" applyNumberFormat="1" applyFont="1" applyBorder="1"/>
    <xf numFmtId="0" fontId="0" fillId="0" borderId="5" xfId="0" applyBorder="1"/>
    <xf numFmtId="178" fontId="0" fillId="0" borderId="6" xfId="1" applyNumberFormat="1" applyFont="1" applyBorder="1"/>
    <xf numFmtId="0" fontId="1" fillId="0" borderId="10" xfId="0" applyFont="1" applyBorder="1"/>
    <xf numFmtId="178" fontId="1" fillId="0" borderId="11" xfId="1" applyNumberFormat="1" applyFont="1" applyBorder="1"/>
    <xf numFmtId="0" fontId="1" fillId="0" borderId="11" xfId="0" applyFont="1" applyBorder="1"/>
    <xf numFmtId="178" fontId="1" fillId="0" borderId="12" xfId="1" applyNumberFormat="1" applyFont="1" applyBorder="1"/>
    <xf numFmtId="0" fontId="0" fillId="0" borderId="13" xfId="0" applyBorder="1"/>
    <xf numFmtId="178" fontId="0" fillId="0" borderId="14" xfId="1" applyNumberFormat="1" applyFont="1" applyBorder="1"/>
    <xf numFmtId="0" fontId="0" fillId="0" borderId="14" xfId="0" applyBorder="1"/>
    <xf numFmtId="178" fontId="0" fillId="0" borderId="15" xfId="1" applyNumberFormat="1" applyFont="1" applyBorder="1"/>
    <xf numFmtId="0" fontId="0" fillId="0" borderId="7" xfId="0" applyBorder="1"/>
    <xf numFmtId="178" fontId="0" fillId="0" borderId="8" xfId="1" applyNumberFormat="1" applyFont="1" applyBorder="1"/>
    <xf numFmtId="0" fontId="0" fillId="0" borderId="8" xfId="0" applyBorder="1"/>
    <xf numFmtId="178" fontId="0" fillId="0" borderId="9" xfId="1" applyNumberFormat="1" applyFont="1" applyBorder="1"/>
    <xf numFmtId="0" fontId="0" fillId="0" borderId="16" xfId="0" applyBorder="1"/>
    <xf numFmtId="178" fontId="0" fillId="0" borderId="17" xfId="1" applyNumberFormat="1" applyFont="1" applyBorder="1"/>
    <xf numFmtId="178" fontId="0" fillId="0" borderId="18" xfId="1" applyNumberFormat="1" applyFont="1" applyBorder="1"/>
    <xf numFmtId="0" fontId="2" fillId="2" borderId="4" xfId="0" applyFont="1" applyFill="1" applyBorder="1"/>
    <xf numFmtId="178" fontId="1" fillId="0" borderId="5" xfId="1" applyNumberFormat="1" applyFont="1" applyBorder="1"/>
    <xf numFmtId="0" fontId="0" fillId="2" borderId="4" xfId="0" applyFill="1" applyBorder="1"/>
    <xf numFmtId="178" fontId="0" fillId="3" borderId="5" xfId="1" applyNumberFormat="1" applyFont="1" applyFill="1" applyBorder="1"/>
    <xf numFmtId="0" fontId="0" fillId="0" borderId="1" xfId="0" applyBorder="1"/>
    <xf numFmtId="178" fontId="3" fillId="0" borderId="2" xfId="0" applyNumberFormat="1" applyFont="1" applyBorder="1"/>
    <xf numFmtId="178" fontId="0" fillId="0" borderId="2" xfId="0" applyNumberFormat="1" applyBorder="1"/>
    <xf numFmtId="178" fontId="3" fillId="0" borderId="8" xfId="0" applyNumberFormat="1" applyFont="1" applyBorder="1"/>
    <xf numFmtId="178" fontId="0" fillId="0" borderId="8" xfId="0" applyNumberForma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78" fontId="1" fillId="0" borderId="19" xfId="1" applyNumberFormat="1" applyFont="1" applyBorder="1"/>
    <xf numFmtId="178" fontId="1" fillId="0" borderId="20" xfId="1" applyNumberFormat="1" applyFont="1" applyBorder="1"/>
    <xf numFmtId="178" fontId="0" fillId="0" borderId="4" xfId="1" applyNumberFormat="1" applyFont="1" applyBorder="1"/>
    <xf numFmtId="178" fontId="0" fillId="0" borderId="21" xfId="1" applyNumberFormat="1" applyFont="1" applyBorder="1"/>
    <xf numFmtId="178" fontId="1" fillId="0" borderId="6" xfId="1" applyNumberFormat="1" applyFont="1" applyBorder="1"/>
    <xf numFmtId="178" fontId="1" fillId="0" borderId="4" xfId="1" applyNumberFormat="1" applyFont="1" applyBorder="1"/>
    <xf numFmtId="0" fontId="0" fillId="0" borderId="6" xfId="0" applyBorder="1"/>
    <xf numFmtId="0" fontId="0" fillId="0" borderId="15" xfId="0" applyBorder="1"/>
    <xf numFmtId="178" fontId="0" fillId="0" borderId="3" xfId="0" applyNumberFormat="1" applyBorder="1"/>
    <xf numFmtId="178" fontId="0" fillId="0" borderId="1" xfId="1" applyNumberFormat="1" applyFont="1" applyBorder="1"/>
    <xf numFmtId="178" fontId="0" fillId="0" borderId="2" xfId="1" applyNumberFormat="1" applyFont="1" applyBorder="1"/>
    <xf numFmtId="178" fontId="0" fillId="0" borderId="9" xfId="0" applyNumberFormat="1" applyBorder="1"/>
    <xf numFmtId="0" fontId="1" fillId="0" borderId="12" xfId="0" applyFont="1" applyBorder="1" applyAlignment="1">
      <alignment horizontal="center"/>
    </xf>
    <xf numFmtId="178" fontId="1" fillId="0" borderId="22" xfId="1" applyNumberFormat="1" applyFont="1" applyBorder="1"/>
    <xf numFmtId="178" fontId="0" fillId="0" borderId="3" xfId="1" applyNumberFormat="1" applyFont="1" applyBorder="1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7" xfId="0" applyBorder="1" applyAlignment="1">
      <alignment horizontal="right"/>
    </xf>
    <xf numFmtId="178" fontId="1" fillId="0" borderId="8" xfId="1" applyNumberFormat="1" applyFont="1" applyBorder="1"/>
    <xf numFmtId="0" fontId="0" fillId="0" borderId="23" xfId="0" applyBorder="1" applyAlignment="1">
      <alignment horizontal="right"/>
    </xf>
    <xf numFmtId="9" fontId="0" fillId="0" borderId="2" xfId="3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25" xfId="0" applyFont="1" applyBorder="1" applyAlignment="1">
      <alignment horizontal="center"/>
    </xf>
    <xf numFmtId="178" fontId="0" fillId="0" borderId="26" xfId="1" applyNumberFormat="1" applyFont="1" applyBorder="1"/>
    <xf numFmtId="178" fontId="0" fillId="0" borderId="27" xfId="1" applyNumberFormat="1" applyFont="1" applyBorder="1"/>
    <xf numFmtId="178" fontId="0" fillId="0" borderId="27" xfId="0" applyNumberFormat="1" applyBorder="1"/>
    <xf numFmtId="178" fontId="0" fillId="0" borderId="28" xfId="0" applyNumberFormat="1" applyBorder="1"/>
    <xf numFmtId="178" fontId="0" fillId="0" borderId="28" xfId="1" applyNumberFormat="1" applyFont="1" applyBorder="1"/>
    <xf numFmtId="178" fontId="1" fillId="0" borderId="9" xfId="1" applyNumberFormat="1" applyFont="1" applyBorder="1"/>
    <xf numFmtId="178" fontId="0" fillId="0" borderId="23" xfId="0" applyNumberFormat="1" applyBorder="1"/>
    <xf numFmtId="178" fontId="0" fillId="0" borderId="23" xfId="1" applyNumberFormat="1" applyFont="1" applyBorder="1"/>
    <xf numFmtId="178" fontId="0" fillId="0" borderId="25" xfId="0" applyNumberFormat="1" applyBorder="1"/>
    <xf numFmtId="9" fontId="1" fillId="0" borderId="2" xfId="3" applyFont="1" applyBorder="1" applyAlignment="1">
      <alignment horizontal="center"/>
    </xf>
    <xf numFmtId="9" fontId="1" fillId="0" borderId="5" xfId="3" applyFont="1" applyBorder="1" applyAlignment="1">
      <alignment horizontal="center"/>
    </xf>
    <xf numFmtId="0" fontId="0" fillId="0" borderId="26" xfId="0" applyBorder="1"/>
    <xf numFmtId="0" fontId="0" fillId="0" borderId="27" xfId="0" applyBorder="1"/>
    <xf numFmtId="9" fontId="1" fillId="0" borderId="27" xfId="3" applyFont="1" applyBorder="1" applyAlignment="1">
      <alignment horizontal="center"/>
    </xf>
    <xf numFmtId="9" fontId="1" fillId="0" borderId="28" xfId="3" applyFont="1" applyBorder="1" applyAlignment="1">
      <alignment horizontal="center"/>
    </xf>
    <xf numFmtId="9" fontId="1" fillId="0" borderId="23" xfId="3" applyFont="1" applyBorder="1" applyAlignment="1">
      <alignment horizontal="center"/>
    </xf>
    <xf numFmtId="9" fontId="1" fillId="0" borderId="25" xfId="3" applyFont="1" applyBorder="1" applyAlignment="1">
      <alignment horizontal="center"/>
    </xf>
    <xf numFmtId="9" fontId="1" fillId="0" borderId="3" xfId="3" applyFont="1" applyBorder="1" applyAlignment="1">
      <alignment horizontal="center"/>
    </xf>
    <xf numFmtId="9" fontId="1" fillId="0" borderId="6" xfId="3" applyFont="1" applyBorder="1" applyAlignment="1">
      <alignment horizontal="center"/>
    </xf>
    <xf numFmtId="0" fontId="0" fillId="0" borderId="9" xfId="0" applyBorder="1"/>
    <xf numFmtId="178" fontId="1" fillId="0" borderId="5" xfId="1" applyNumberFormat="1" applyFont="1" applyBorder="1" applyAlignment="1">
      <alignment horizontal="center"/>
    </xf>
    <xf numFmtId="178" fontId="0" fillId="3" borderId="5" xfId="1" applyNumberFormat="1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3" borderId="8" xfId="0" applyFill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178" fontId="0" fillId="0" borderId="5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178" fontId="0" fillId="0" borderId="8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178" fontId="0" fillId="0" borderId="6" xfId="0" applyNumberFormat="1" applyBorder="1" applyAlignment="1">
      <alignment horizontal="center"/>
    </xf>
    <xf numFmtId="9" fontId="0" fillId="0" borderId="0" xfId="3" applyFont="1" applyAlignment="1">
      <alignment horizontal="center"/>
    </xf>
    <xf numFmtId="0" fontId="0" fillId="0" borderId="9" xfId="0" applyBorder="1" applyAlignment="1">
      <alignment horizontal="center"/>
    </xf>
    <xf numFmtId="9" fontId="1" fillId="0" borderId="9" xfId="3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9" fontId="0" fillId="3" borderId="5" xfId="3" applyNumberFormat="1" applyFont="1" applyFill="1" applyBorder="1" applyAlignment="1">
      <alignment horizontal="center"/>
    </xf>
    <xf numFmtId="0" fontId="0" fillId="3" borderId="5" xfId="3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178" fontId="0" fillId="3" borderId="8" xfId="1" applyNumberFormat="1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:C1"/>
    </sheetView>
  </sheetViews>
  <sheetFormatPr defaultColWidth="9" defaultRowHeight="14.4" outlineLevelCol="2"/>
  <cols>
    <col min="1" max="1" width="26.8888888888889" customWidth="1"/>
    <col min="2" max="2" width="10.3333333333333" customWidth="1"/>
    <col min="3" max="3" width="11.1111111111111" style="1" customWidth="1"/>
  </cols>
  <sheetData>
    <row r="1" ht="15.15" spans="1:3">
      <c r="A1" s="106" t="s">
        <v>0</v>
      </c>
      <c r="B1" s="107"/>
      <c r="C1" s="108"/>
    </row>
    <row r="2" spans="1:3">
      <c r="A2" s="15" t="s">
        <v>1</v>
      </c>
      <c r="B2" s="92" t="s">
        <v>2</v>
      </c>
      <c r="C2" s="9"/>
    </row>
    <row r="3" spans="1:3">
      <c r="A3" s="15" t="s">
        <v>3</v>
      </c>
      <c r="B3" s="109">
        <v>0.05</v>
      </c>
      <c r="C3" s="9" t="s">
        <v>4</v>
      </c>
    </row>
    <row r="4" spans="1:3">
      <c r="A4" s="15" t="s">
        <v>5</v>
      </c>
      <c r="B4" s="109">
        <v>0.18</v>
      </c>
      <c r="C4" s="9" t="s">
        <v>4</v>
      </c>
    </row>
    <row r="5" spans="1:3">
      <c r="A5" s="15" t="s">
        <v>6</v>
      </c>
      <c r="B5" s="110">
        <v>5</v>
      </c>
      <c r="C5" s="9" t="s">
        <v>7</v>
      </c>
    </row>
    <row r="6" spans="1:3">
      <c r="A6" s="15" t="s">
        <v>8</v>
      </c>
      <c r="B6" s="109">
        <v>0.18</v>
      </c>
      <c r="C6" s="111" t="s">
        <v>8</v>
      </c>
    </row>
    <row r="7" spans="1:3">
      <c r="A7" s="15" t="s">
        <v>9</v>
      </c>
      <c r="B7" s="109">
        <v>0.3</v>
      </c>
      <c r="C7" s="9" t="s">
        <v>4</v>
      </c>
    </row>
    <row r="8" spans="1:3">
      <c r="A8" s="15" t="s">
        <v>10</v>
      </c>
      <c r="B8" s="91">
        <v>29166</v>
      </c>
      <c r="C8" s="9" t="s">
        <v>11</v>
      </c>
    </row>
    <row r="9" spans="1:3">
      <c r="A9" s="15" t="s">
        <v>12</v>
      </c>
      <c r="B9" s="91">
        <v>8333</v>
      </c>
      <c r="C9" s="9" t="s">
        <v>11</v>
      </c>
    </row>
    <row r="10" spans="1:3">
      <c r="A10" s="15" t="s">
        <v>13</v>
      </c>
      <c r="B10" s="37">
        <v>0</v>
      </c>
      <c r="C10" s="9" t="s">
        <v>11</v>
      </c>
    </row>
    <row r="11" spans="1:3">
      <c r="A11" s="15" t="s">
        <v>14</v>
      </c>
      <c r="B11" s="37">
        <v>8333</v>
      </c>
      <c r="C11" s="9" t="s">
        <v>11</v>
      </c>
    </row>
    <row r="12" spans="1:3">
      <c r="A12" s="15" t="s">
        <v>15</v>
      </c>
      <c r="B12" s="37">
        <v>0</v>
      </c>
      <c r="C12" s="9" t="s">
        <v>11</v>
      </c>
    </row>
    <row r="13" ht="15.15" spans="1:3">
      <c r="A13" s="27" t="s">
        <v>16</v>
      </c>
      <c r="B13" s="112">
        <v>150000</v>
      </c>
      <c r="C13" s="104" t="s">
        <v>17</v>
      </c>
    </row>
    <row r="14" ht="15.15"/>
  </sheetData>
  <mergeCells count="1">
    <mergeCell ref="A1:C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topLeftCell="A43" workbookViewId="0">
      <selection activeCell="E72" sqref="E72"/>
    </sheetView>
  </sheetViews>
  <sheetFormatPr defaultColWidth="9" defaultRowHeight="14.4"/>
  <cols>
    <col min="1" max="1" width="18.1111111111111" style="1" customWidth="1"/>
    <col min="2" max="13" width="7.88888888888889" style="1" customWidth="1"/>
    <col min="14" max="18" width="11.2222222222222" style="1" customWidth="1"/>
    <col min="19" max="19" width="10.2222222222222" style="1" customWidth="1"/>
    <col min="20" max="20" width="11.7777777777778" style="1" customWidth="1"/>
    <col min="21" max="16384" width="8.88888888888889" style="1"/>
  </cols>
  <sheetData>
    <row r="1" ht="15.15" spans="1:19">
      <c r="A1" s="61" t="s">
        <v>18</v>
      </c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98" t="s">
        <v>19</v>
      </c>
      <c r="O1" s="98" t="s">
        <v>20</v>
      </c>
      <c r="P1" s="98" t="s">
        <v>21</v>
      </c>
      <c r="Q1" s="98" t="s">
        <v>22</v>
      </c>
      <c r="R1" s="98" t="s">
        <v>23</v>
      </c>
      <c r="S1" s="101" t="s">
        <v>24</v>
      </c>
    </row>
    <row r="2" outlineLevel="1" spans="1:21">
      <c r="A2" s="5" t="s">
        <v>25</v>
      </c>
      <c r="B2" s="90">
        <f>B5*B4</f>
        <v>0</v>
      </c>
      <c r="C2" s="90">
        <f t="shared" ref="C2:M2" si="0">C5*C4</f>
        <v>0</v>
      </c>
      <c r="D2" s="90">
        <f t="shared" si="0"/>
        <v>0</v>
      </c>
      <c r="E2" s="90">
        <f t="shared" si="0"/>
        <v>0</v>
      </c>
      <c r="F2" s="90">
        <f t="shared" si="0"/>
        <v>0</v>
      </c>
      <c r="G2" s="90">
        <f t="shared" si="0"/>
        <v>0</v>
      </c>
      <c r="H2" s="90">
        <f t="shared" si="0"/>
        <v>0</v>
      </c>
      <c r="I2" s="90">
        <f t="shared" si="0"/>
        <v>0</v>
      </c>
      <c r="J2" s="90">
        <f t="shared" si="0"/>
        <v>0</v>
      </c>
      <c r="K2" s="90">
        <f t="shared" si="0"/>
        <v>0</v>
      </c>
      <c r="L2" s="90">
        <f t="shared" si="0"/>
        <v>0</v>
      </c>
      <c r="M2" s="90">
        <f t="shared" si="0"/>
        <v>24840</v>
      </c>
      <c r="N2" s="90">
        <f>SUM(B2:M2)</f>
        <v>24840</v>
      </c>
      <c r="O2" s="90">
        <f>O5*O4</f>
        <v>406879.2</v>
      </c>
      <c r="P2" s="90">
        <f t="shared" ref="P2:R2" si="1">P5*P4</f>
        <v>555390.108</v>
      </c>
      <c r="Q2" s="90">
        <f t="shared" si="1"/>
        <v>758107.49742</v>
      </c>
      <c r="R2" s="90">
        <f t="shared" si="1"/>
        <v>1034816.7339783</v>
      </c>
      <c r="S2" s="102">
        <f>SUM(N2:R2)</f>
        <v>2780033.5393983</v>
      </c>
      <c r="U2" s="103"/>
    </row>
    <row r="3" outlineLevel="1" spans="1:21">
      <c r="A3" s="5" t="s">
        <v>26</v>
      </c>
      <c r="B3" s="90">
        <f>B4*B6</f>
        <v>0</v>
      </c>
      <c r="C3" s="90">
        <f t="shared" ref="C3:M3" si="2">C4*C6</f>
        <v>0</v>
      </c>
      <c r="D3" s="90">
        <f t="shared" si="2"/>
        <v>0</v>
      </c>
      <c r="E3" s="90">
        <f t="shared" si="2"/>
        <v>0</v>
      </c>
      <c r="F3" s="90">
        <f t="shared" si="2"/>
        <v>0</v>
      </c>
      <c r="G3" s="90">
        <f t="shared" si="2"/>
        <v>0</v>
      </c>
      <c r="H3" s="90">
        <f t="shared" si="2"/>
        <v>0</v>
      </c>
      <c r="I3" s="90">
        <f t="shared" si="2"/>
        <v>0</v>
      </c>
      <c r="J3" s="90">
        <f t="shared" si="2"/>
        <v>0</v>
      </c>
      <c r="K3" s="90">
        <f t="shared" si="2"/>
        <v>0</v>
      </c>
      <c r="L3" s="90">
        <f t="shared" si="2"/>
        <v>0</v>
      </c>
      <c r="M3" s="90">
        <f t="shared" si="2"/>
        <v>7920</v>
      </c>
      <c r="N3" s="90">
        <f>SUM(B3:M3)</f>
        <v>7920</v>
      </c>
      <c r="O3" s="90">
        <f>O6*O4</f>
        <v>129729.6</v>
      </c>
      <c r="P3" s="90">
        <f t="shared" ref="P3:R3" si="3">P6*P4</f>
        <v>177080.904</v>
      </c>
      <c r="Q3" s="90">
        <f t="shared" si="3"/>
        <v>241715.43396</v>
      </c>
      <c r="R3" s="90">
        <f t="shared" si="3"/>
        <v>329941.5673554</v>
      </c>
      <c r="S3" s="102">
        <f>SUM(N3:R3)</f>
        <v>886387.5053154</v>
      </c>
      <c r="U3" s="103"/>
    </row>
    <row r="4" outlineLevel="1" spans="1:21">
      <c r="A4" s="5" t="s">
        <v>27</v>
      </c>
      <c r="B4" s="91">
        <v>0</v>
      </c>
      <c r="C4" s="91">
        <v>0</v>
      </c>
      <c r="D4" s="91">
        <v>0</v>
      </c>
      <c r="E4" s="91">
        <v>0</v>
      </c>
      <c r="F4" s="91">
        <v>0</v>
      </c>
      <c r="G4" s="91">
        <v>0</v>
      </c>
      <c r="H4" s="91">
        <v>0</v>
      </c>
      <c r="I4" s="91">
        <v>0</v>
      </c>
      <c r="J4" s="91">
        <v>0</v>
      </c>
      <c r="K4" s="91">
        <v>0</v>
      </c>
      <c r="L4" s="91">
        <v>0</v>
      </c>
      <c r="M4" s="91">
        <v>30</v>
      </c>
      <c r="N4" s="10">
        <f>SUM(B4:M4)</f>
        <v>30</v>
      </c>
      <c r="O4" s="10">
        <f>M4*12*(Assumptions!$B$7+1)</f>
        <v>468</v>
      </c>
      <c r="P4" s="10">
        <f>O4*(Assumptions!$B$7+1)</f>
        <v>608.4</v>
      </c>
      <c r="Q4" s="10">
        <f>P4*(Assumptions!$B$7+1)</f>
        <v>790.92</v>
      </c>
      <c r="R4" s="10">
        <f>Q4*(Assumptions!$B$7+1)</f>
        <v>1028.196</v>
      </c>
      <c r="S4" s="102">
        <f>S2-S3</f>
        <v>1893646.0340829</v>
      </c>
      <c r="U4" s="103"/>
    </row>
    <row r="5" outlineLevel="1" spans="1:19">
      <c r="A5" s="5" t="s">
        <v>28</v>
      </c>
      <c r="B5" s="92">
        <v>828</v>
      </c>
      <c r="C5" s="92">
        <v>828</v>
      </c>
      <c r="D5" s="92">
        <v>828</v>
      </c>
      <c r="E5" s="92">
        <v>828</v>
      </c>
      <c r="F5" s="92">
        <v>828</v>
      </c>
      <c r="G5" s="92">
        <v>828</v>
      </c>
      <c r="H5" s="92">
        <v>828</v>
      </c>
      <c r="I5" s="92">
        <v>828</v>
      </c>
      <c r="J5" s="92">
        <v>828</v>
      </c>
      <c r="K5" s="92">
        <v>828</v>
      </c>
      <c r="L5" s="92">
        <v>828</v>
      </c>
      <c r="M5" s="92">
        <v>828</v>
      </c>
      <c r="N5" s="10"/>
      <c r="O5" s="10">
        <f>M5*(1+Assumptions!$B$3)</f>
        <v>869.4</v>
      </c>
      <c r="P5" s="10">
        <f>O5*(1+Assumptions!$B$3)</f>
        <v>912.87</v>
      </c>
      <c r="Q5" s="10">
        <f>P5*(1+Assumptions!$B$3)</f>
        <v>958.5135</v>
      </c>
      <c r="R5" s="10">
        <f>Q5*(1+Assumptions!$B$3)</f>
        <v>1006.439175</v>
      </c>
      <c r="S5" s="9"/>
    </row>
    <row r="6" outlineLevel="1" spans="1:19">
      <c r="A6" s="5" t="s">
        <v>29</v>
      </c>
      <c r="B6" s="92">
        <v>264</v>
      </c>
      <c r="C6" s="92">
        <v>264</v>
      </c>
      <c r="D6" s="92">
        <v>264</v>
      </c>
      <c r="E6" s="92">
        <v>264</v>
      </c>
      <c r="F6" s="92">
        <v>264</v>
      </c>
      <c r="G6" s="92">
        <v>264</v>
      </c>
      <c r="H6" s="92">
        <v>264</v>
      </c>
      <c r="I6" s="92">
        <v>264</v>
      </c>
      <c r="J6" s="92">
        <v>264</v>
      </c>
      <c r="K6" s="92">
        <v>264</v>
      </c>
      <c r="L6" s="92">
        <v>264</v>
      </c>
      <c r="M6" s="92">
        <v>264</v>
      </c>
      <c r="N6" s="8"/>
      <c r="O6" s="10">
        <f>M6*(1+Assumptions!$B$3)</f>
        <v>277.2</v>
      </c>
      <c r="P6" s="10">
        <f>O6*(1+Assumptions!$B$3)</f>
        <v>291.06</v>
      </c>
      <c r="Q6" s="10">
        <f>P6*(1+Assumptions!$B$3)</f>
        <v>305.613</v>
      </c>
      <c r="R6" s="10">
        <f>Q6*(1+Assumptions!$B$3)</f>
        <v>320.89365</v>
      </c>
      <c r="S6" s="9"/>
    </row>
    <row r="7" outlineLevel="1" spans="1:19">
      <c r="A7" s="5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9"/>
    </row>
    <row r="8" outlineLevel="1" spans="1:19">
      <c r="A8" s="5" t="s">
        <v>30</v>
      </c>
      <c r="B8" s="90">
        <f>B11*B10</f>
        <v>0</v>
      </c>
      <c r="C8" s="90">
        <f t="shared" ref="C8:M8" si="4">C11*C10</f>
        <v>0</v>
      </c>
      <c r="D8" s="90">
        <f t="shared" si="4"/>
        <v>0</v>
      </c>
      <c r="E8" s="90">
        <f t="shared" si="4"/>
        <v>0</v>
      </c>
      <c r="F8" s="90">
        <f t="shared" si="4"/>
        <v>0</v>
      </c>
      <c r="G8" s="90">
        <f t="shared" si="4"/>
        <v>0</v>
      </c>
      <c r="H8" s="90">
        <f t="shared" si="4"/>
        <v>0</v>
      </c>
      <c r="I8" s="90">
        <f t="shared" si="4"/>
        <v>0</v>
      </c>
      <c r="J8" s="90">
        <f t="shared" si="4"/>
        <v>0</v>
      </c>
      <c r="K8" s="90">
        <f t="shared" si="4"/>
        <v>0</v>
      </c>
      <c r="L8" s="90">
        <f t="shared" si="4"/>
        <v>0</v>
      </c>
      <c r="M8" s="90">
        <f t="shared" si="4"/>
        <v>37800</v>
      </c>
      <c r="N8" s="90">
        <f>SUM(B8:M8)</f>
        <v>37800</v>
      </c>
      <c r="O8" s="90">
        <f>O11*O10</f>
        <v>619164</v>
      </c>
      <c r="P8" s="90">
        <f t="shared" ref="P8:R8" si="5">P11*P10</f>
        <v>845158.86</v>
      </c>
      <c r="Q8" s="90">
        <f t="shared" si="5"/>
        <v>1153641.8439</v>
      </c>
      <c r="R8" s="90">
        <f t="shared" si="5"/>
        <v>1574721.1169235</v>
      </c>
      <c r="S8" s="102">
        <f>SUM(N8:R8)</f>
        <v>4230485.8208235</v>
      </c>
    </row>
    <row r="9" outlineLevel="1" spans="1:19">
      <c r="A9" s="5" t="s">
        <v>31</v>
      </c>
      <c r="B9" s="90">
        <f>B10*B12</f>
        <v>0</v>
      </c>
      <c r="C9" s="90">
        <f t="shared" ref="C9" si="6">C10*C12</f>
        <v>0</v>
      </c>
      <c r="D9" s="90">
        <f t="shared" ref="D9" si="7">D10*D12</f>
        <v>0</v>
      </c>
      <c r="E9" s="90">
        <f t="shared" ref="E9" si="8">E10*E12</f>
        <v>0</v>
      </c>
      <c r="F9" s="90">
        <f t="shared" ref="F9" si="9">F10*F12</f>
        <v>0</v>
      </c>
      <c r="G9" s="90">
        <f t="shared" ref="G9" si="10">G10*G12</f>
        <v>0</v>
      </c>
      <c r="H9" s="90">
        <f t="shared" ref="H9" si="11">H10*H12</f>
        <v>0</v>
      </c>
      <c r="I9" s="90">
        <f t="shared" ref="I9" si="12">I10*I12</f>
        <v>0</v>
      </c>
      <c r="J9" s="90">
        <f t="shared" ref="J9" si="13">J10*J12</f>
        <v>0</v>
      </c>
      <c r="K9" s="90">
        <f t="shared" ref="K9" si="14">K10*K12</f>
        <v>0</v>
      </c>
      <c r="L9" s="90">
        <f t="shared" ref="L9" si="15">L10*L12</f>
        <v>0</v>
      </c>
      <c r="M9" s="90">
        <f t="shared" ref="M9" si="16">M10*M12</f>
        <v>13860</v>
      </c>
      <c r="N9" s="90">
        <f>SUM(B9:M9)</f>
        <v>13860</v>
      </c>
      <c r="O9" s="90">
        <f>O12*O10</f>
        <v>227026.8</v>
      </c>
      <c r="P9" s="90">
        <f t="shared" ref="P9" si="17">P12*P10</f>
        <v>309891.582</v>
      </c>
      <c r="Q9" s="90">
        <f t="shared" ref="Q9" si="18">Q12*Q10</f>
        <v>423002.00943</v>
      </c>
      <c r="R9" s="90">
        <f t="shared" ref="R9" si="19">R12*R10</f>
        <v>577397.74287195</v>
      </c>
      <c r="S9" s="102">
        <f>SUM(N9:R9)</f>
        <v>1551178.13430195</v>
      </c>
    </row>
    <row r="10" outlineLevel="1" spans="1:19">
      <c r="A10" s="5" t="s">
        <v>27</v>
      </c>
      <c r="B10" s="91">
        <v>0</v>
      </c>
      <c r="C10" s="91">
        <v>0</v>
      </c>
      <c r="D10" s="91">
        <v>0</v>
      </c>
      <c r="E10" s="91">
        <v>0</v>
      </c>
      <c r="F10" s="91">
        <v>0</v>
      </c>
      <c r="G10" s="91">
        <v>0</v>
      </c>
      <c r="H10" s="91">
        <v>0</v>
      </c>
      <c r="I10" s="91">
        <v>0</v>
      </c>
      <c r="J10" s="91">
        <v>0</v>
      </c>
      <c r="K10" s="91">
        <v>0</v>
      </c>
      <c r="L10" s="91">
        <v>0</v>
      </c>
      <c r="M10" s="91">
        <v>15</v>
      </c>
      <c r="N10" s="10">
        <f>SUM(B10:M10)</f>
        <v>15</v>
      </c>
      <c r="O10" s="10">
        <f>M10*12*(Assumptions!$B$7+1)</f>
        <v>234</v>
      </c>
      <c r="P10" s="10">
        <f>O10*(Assumptions!$B$7+1)</f>
        <v>304.2</v>
      </c>
      <c r="Q10" s="10">
        <f>P10*(Assumptions!$B$7+1)</f>
        <v>395.46</v>
      </c>
      <c r="R10" s="10">
        <f>Q10*(Assumptions!$B$7+1)</f>
        <v>514.098</v>
      </c>
      <c r="S10" s="9"/>
    </row>
    <row r="11" outlineLevel="1" spans="1:19">
      <c r="A11" s="5" t="s">
        <v>28</v>
      </c>
      <c r="B11" s="92">
        <v>2520</v>
      </c>
      <c r="C11" s="92">
        <v>2520</v>
      </c>
      <c r="D11" s="92">
        <v>2520</v>
      </c>
      <c r="E11" s="92">
        <v>2520</v>
      </c>
      <c r="F11" s="92">
        <v>2520</v>
      </c>
      <c r="G11" s="92">
        <v>2520</v>
      </c>
      <c r="H11" s="92">
        <v>2520</v>
      </c>
      <c r="I11" s="92">
        <v>2520</v>
      </c>
      <c r="J11" s="92">
        <v>2520</v>
      </c>
      <c r="K11" s="92">
        <v>2520</v>
      </c>
      <c r="L11" s="92">
        <v>2520</v>
      </c>
      <c r="M11" s="92">
        <v>2520</v>
      </c>
      <c r="N11" s="10"/>
      <c r="O11" s="10">
        <f>M11*(1+Assumptions!$B$3)</f>
        <v>2646</v>
      </c>
      <c r="P11" s="10">
        <f>O11*(1+Assumptions!$B$3)</f>
        <v>2778.3</v>
      </c>
      <c r="Q11" s="10">
        <f>P11*(1+Assumptions!$B$3)</f>
        <v>2917.215</v>
      </c>
      <c r="R11" s="10">
        <f>Q11*(1+Assumptions!$B$3)</f>
        <v>3063.07575</v>
      </c>
      <c r="S11" s="9"/>
    </row>
    <row r="12" outlineLevel="1" spans="1:19">
      <c r="A12" s="5" t="s">
        <v>29</v>
      </c>
      <c r="B12" s="92">
        <v>924</v>
      </c>
      <c r="C12" s="92">
        <v>924</v>
      </c>
      <c r="D12" s="92">
        <v>924</v>
      </c>
      <c r="E12" s="92">
        <v>924</v>
      </c>
      <c r="F12" s="92">
        <v>924</v>
      </c>
      <c r="G12" s="92">
        <v>924</v>
      </c>
      <c r="H12" s="92">
        <v>924</v>
      </c>
      <c r="I12" s="92">
        <v>924</v>
      </c>
      <c r="J12" s="92">
        <v>924</v>
      </c>
      <c r="K12" s="92">
        <v>924</v>
      </c>
      <c r="L12" s="92">
        <v>924</v>
      </c>
      <c r="M12" s="92">
        <v>924</v>
      </c>
      <c r="N12" s="8"/>
      <c r="O12" s="10">
        <f>M12*(1+Assumptions!$B$3)</f>
        <v>970.2</v>
      </c>
      <c r="P12" s="10">
        <f>O12*(1+Assumptions!$B$3)</f>
        <v>1018.71</v>
      </c>
      <c r="Q12" s="10">
        <f>P12*(1+Assumptions!$B$3)</f>
        <v>1069.6455</v>
      </c>
      <c r="R12" s="10">
        <f>Q12*(1+Assumptions!$B$3)</f>
        <v>1123.127775</v>
      </c>
      <c r="S12" s="9"/>
    </row>
    <row r="13" outlineLevel="1" spans="1:19">
      <c r="A13" s="5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102"/>
    </row>
    <row r="14" outlineLevel="1" spans="1:19">
      <c r="A14" s="5" t="s">
        <v>32</v>
      </c>
      <c r="B14" s="90">
        <f>B17*B16</f>
        <v>0</v>
      </c>
      <c r="C14" s="90">
        <f t="shared" ref="C14:M14" si="20">C17*C16</f>
        <v>0</v>
      </c>
      <c r="D14" s="90">
        <f t="shared" si="20"/>
        <v>0</v>
      </c>
      <c r="E14" s="90">
        <f t="shared" si="20"/>
        <v>0</v>
      </c>
      <c r="F14" s="90">
        <f t="shared" si="20"/>
        <v>0</v>
      </c>
      <c r="G14" s="90">
        <f t="shared" si="20"/>
        <v>0</v>
      </c>
      <c r="H14" s="90">
        <f t="shared" si="20"/>
        <v>0</v>
      </c>
      <c r="I14" s="90">
        <f t="shared" si="20"/>
        <v>0</v>
      </c>
      <c r="J14" s="90">
        <f t="shared" si="20"/>
        <v>0</v>
      </c>
      <c r="K14" s="90">
        <f t="shared" si="20"/>
        <v>0</v>
      </c>
      <c r="L14" s="90">
        <f t="shared" si="20"/>
        <v>0</v>
      </c>
      <c r="M14" s="90">
        <f t="shared" si="20"/>
        <v>28650</v>
      </c>
      <c r="N14" s="90">
        <f>SUM(B14:M14)</f>
        <v>28650</v>
      </c>
      <c r="O14" s="90">
        <f>O17*O16</f>
        <v>469287</v>
      </c>
      <c r="P14" s="90">
        <f t="shared" ref="P14:R14" si="21">P17*P16</f>
        <v>640576.755</v>
      </c>
      <c r="Q14" s="90">
        <f t="shared" si="21"/>
        <v>874387.270575</v>
      </c>
      <c r="R14" s="90">
        <f t="shared" si="21"/>
        <v>1193538.62433488</v>
      </c>
      <c r="S14" s="102">
        <f>SUM(N14:R14)</f>
        <v>3206439.64990988</v>
      </c>
    </row>
    <row r="15" outlineLevel="1" spans="1:19">
      <c r="A15" s="5" t="s">
        <v>33</v>
      </c>
      <c r="B15" s="90">
        <f>B16*B18</f>
        <v>0</v>
      </c>
      <c r="C15" s="90">
        <f t="shared" ref="C15" si="22">C16*C18</f>
        <v>0</v>
      </c>
      <c r="D15" s="90">
        <f t="shared" ref="D15" si="23">D16*D18</f>
        <v>0</v>
      </c>
      <c r="E15" s="90">
        <f t="shared" ref="E15" si="24">E16*E18</f>
        <v>0</v>
      </c>
      <c r="F15" s="90">
        <f t="shared" ref="F15" si="25">F16*F18</f>
        <v>0</v>
      </c>
      <c r="G15" s="90">
        <f t="shared" ref="G15" si="26">G16*G18</f>
        <v>0</v>
      </c>
      <c r="H15" s="90">
        <f t="shared" ref="H15" si="27">H16*H18</f>
        <v>0</v>
      </c>
      <c r="I15" s="90">
        <f t="shared" ref="I15" si="28">I16*I18</f>
        <v>0</v>
      </c>
      <c r="J15" s="90">
        <f t="shared" ref="J15" si="29">J16*J18</f>
        <v>0</v>
      </c>
      <c r="K15" s="90">
        <f t="shared" ref="K15" si="30">K16*K18</f>
        <v>0</v>
      </c>
      <c r="L15" s="90">
        <f t="shared" ref="L15" si="31">L16*L18</f>
        <v>0</v>
      </c>
      <c r="M15" s="90">
        <f t="shared" ref="M15" si="32">M16*M18</f>
        <v>13200</v>
      </c>
      <c r="N15" s="90">
        <f>SUM(B15:M15)</f>
        <v>13200</v>
      </c>
      <c r="O15" s="90">
        <f>O18*O16</f>
        <v>216216</v>
      </c>
      <c r="P15" s="90">
        <f t="shared" ref="P15:R15" si="33">P18*P16</f>
        <v>295134.84</v>
      </c>
      <c r="Q15" s="90">
        <f t="shared" si="33"/>
        <v>402859.0566</v>
      </c>
      <c r="R15" s="90">
        <f t="shared" si="33"/>
        <v>549902.612259</v>
      </c>
      <c r="S15" s="102">
        <f>SUM(N15:R15)</f>
        <v>1477312.508859</v>
      </c>
    </row>
    <row r="16" outlineLevel="1" spans="1:19">
      <c r="A16" s="5" t="s">
        <v>27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>
        <v>5</v>
      </c>
      <c r="N16" s="10">
        <f>SUM(B16:M16)</f>
        <v>5</v>
      </c>
      <c r="O16" s="10">
        <f>M16*12*(Assumptions!$B$7+1)</f>
        <v>78</v>
      </c>
      <c r="P16" s="10">
        <f>O16*(Assumptions!$B$7+1)</f>
        <v>101.4</v>
      </c>
      <c r="Q16" s="10">
        <f>P16*(Assumptions!$B$7+1)</f>
        <v>131.82</v>
      </c>
      <c r="R16" s="10">
        <f>Q16*(Assumptions!$B$7+1)</f>
        <v>171.366</v>
      </c>
      <c r="S16" s="9"/>
    </row>
    <row r="17" outlineLevel="1" spans="1:19">
      <c r="A17" s="5" t="s">
        <v>28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>
        <v>5730</v>
      </c>
      <c r="N17" s="10"/>
      <c r="O17" s="10">
        <f>M17*(1+Assumptions!$B$3)</f>
        <v>6016.5</v>
      </c>
      <c r="P17" s="10">
        <f>O17*(1+Assumptions!$B$3)</f>
        <v>6317.325</v>
      </c>
      <c r="Q17" s="10">
        <f>P17*(1+Assumptions!$B$3)</f>
        <v>6633.19125</v>
      </c>
      <c r="R17" s="10">
        <f>Q17*(1+Assumptions!$B$3)</f>
        <v>6964.8508125</v>
      </c>
      <c r="S17" s="9"/>
    </row>
    <row r="18" outlineLevel="1" spans="1:19">
      <c r="A18" s="5" t="s">
        <v>29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>
        <v>2640</v>
      </c>
      <c r="N18" s="8"/>
      <c r="O18" s="10">
        <f>M18*(1+Assumptions!$B$3)</f>
        <v>2772</v>
      </c>
      <c r="P18" s="10">
        <f>O18*(1+Assumptions!$B$3)</f>
        <v>2910.6</v>
      </c>
      <c r="Q18" s="10">
        <f>P18*(1+Assumptions!$B$3)</f>
        <v>3056.13</v>
      </c>
      <c r="R18" s="10">
        <f>Q18*(1+Assumptions!$B$3)</f>
        <v>3208.9365</v>
      </c>
      <c r="S18" s="9"/>
    </row>
    <row r="19" outlineLevel="1" spans="1:19">
      <c r="A19" s="5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9"/>
    </row>
    <row r="20" outlineLevel="1" spans="1:19">
      <c r="A20" s="5" t="s">
        <v>34</v>
      </c>
      <c r="B20" s="90">
        <f>B23*B22</f>
        <v>0</v>
      </c>
      <c r="C20" s="90">
        <f t="shared" ref="C20:M20" si="34">C23*C22</f>
        <v>0</v>
      </c>
      <c r="D20" s="90">
        <f t="shared" si="34"/>
        <v>0</v>
      </c>
      <c r="E20" s="90">
        <f t="shared" si="34"/>
        <v>0</v>
      </c>
      <c r="F20" s="90">
        <f t="shared" si="34"/>
        <v>0</v>
      </c>
      <c r="G20" s="90">
        <f t="shared" si="34"/>
        <v>0</v>
      </c>
      <c r="H20" s="90">
        <f t="shared" si="34"/>
        <v>0</v>
      </c>
      <c r="I20" s="90">
        <f t="shared" si="34"/>
        <v>0</v>
      </c>
      <c r="J20" s="90">
        <f t="shared" si="34"/>
        <v>0</v>
      </c>
      <c r="K20" s="90">
        <f t="shared" si="34"/>
        <v>0</v>
      </c>
      <c r="L20" s="90">
        <f t="shared" si="34"/>
        <v>0</v>
      </c>
      <c r="M20" s="90">
        <f t="shared" si="34"/>
        <v>29900</v>
      </c>
      <c r="N20" s="90">
        <f>SUM(B20:M20)</f>
        <v>29900</v>
      </c>
      <c r="O20" s="90">
        <f>O23*O22</f>
        <v>489762</v>
      </c>
      <c r="P20" s="90">
        <f t="shared" ref="P20:R20" si="35">P23*P22</f>
        <v>668525.13</v>
      </c>
      <c r="Q20" s="90">
        <f t="shared" si="35"/>
        <v>912536.80245</v>
      </c>
      <c r="R20" s="90">
        <f t="shared" si="35"/>
        <v>1245612.73534425</v>
      </c>
      <c r="S20" s="102">
        <f>SUM(N20:R20)</f>
        <v>3346336.66779425</v>
      </c>
    </row>
    <row r="21" outlineLevel="1" spans="1:19">
      <c r="A21" s="5" t="s">
        <v>35</v>
      </c>
      <c r="B21" s="90">
        <f>B22*B24</f>
        <v>0</v>
      </c>
      <c r="C21" s="90">
        <f t="shared" ref="C21" si="36">C22*C24</f>
        <v>0</v>
      </c>
      <c r="D21" s="90">
        <f t="shared" ref="D21" si="37">D22*D24</f>
        <v>0</v>
      </c>
      <c r="E21" s="90">
        <f t="shared" ref="E21" si="38">E22*E24</f>
        <v>0</v>
      </c>
      <c r="F21" s="90">
        <f t="shared" ref="F21" si="39">F22*F24</f>
        <v>0</v>
      </c>
      <c r="G21" s="90">
        <f t="shared" ref="G21" si="40">G22*G24</f>
        <v>0</v>
      </c>
      <c r="H21" s="90">
        <f t="shared" ref="H21" si="41">H22*H24</f>
        <v>0</v>
      </c>
      <c r="I21" s="90">
        <f t="shared" ref="I21" si="42">I22*I24</f>
        <v>0</v>
      </c>
      <c r="J21" s="90">
        <f t="shared" ref="J21" si="43">J22*J24</f>
        <v>0</v>
      </c>
      <c r="K21" s="90">
        <f t="shared" ref="K21" si="44">K22*K24</f>
        <v>0</v>
      </c>
      <c r="L21" s="90">
        <f t="shared" ref="L21" si="45">L22*L24</f>
        <v>0</v>
      </c>
      <c r="M21" s="90">
        <f t="shared" ref="M21" si="46">M22*M24</f>
        <v>8000</v>
      </c>
      <c r="N21" s="90">
        <f>SUM(B21:M21)</f>
        <v>8000</v>
      </c>
      <c r="O21" s="90">
        <f>O24*O22</f>
        <v>131040</v>
      </c>
      <c r="P21" s="90">
        <f t="shared" ref="P21:R21" si="47">P24*P22</f>
        <v>178869.6</v>
      </c>
      <c r="Q21" s="90">
        <f t="shared" si="47"/>
        <v>244157.004</v>
      </c>
      <c r="R21" s="90">
        <f t="shared" si="47"/>
        <v>333274.31046</v>
      </c>
      <c r="S21" s="102">
        <f>SUM(N21:R21)</f>
        <v>895340.91446</v>
      </c>
    </row>
    <row r="22" outlineLevel="1" spans="1:19">
      <c r="A22" s="5" t="s">
        <v>27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>
        <v>100</v>
      </c>
      <c r="N22" s="10">
        <f>SUM(B22:M22)</f>
        <v>100</v>
      </c>
      <c r="O22" s="10">
        <f>M22*12*(Assumptions!$B$7+1)</f>
        <v>1560</v>
      </c>
      <c r="P22" s="10">
        <f>O22*(Assumptions!$B$7+1)</f>
        <v>2028</v>
      </c>
      <c r="Q22" s="10">
        <f>P22*(Assumptions!$B$7+1)</f>
        <v>2636.4</v>
      </c>
      <c r="R22" s="10">
        <f>Q22*(Assumptions!$B$7+1)</f>
        <v>3427.32</v>
      </c>
      <c r="S22" s="9"/>
    </row>
    <row r="23" outlineLevel="1" spans="1:19">
      <c r="A23" s="5" t="s">
        <v>28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>
        <v>299</v>
      </c>
      <c r="N23" s="10"/>
      <c r="O23" s="10">
        <f>M23*(1+Assumptions!$B$3)</f>
        <v>313.95</v>
      </c>
      <c r="P23" s="10">
        <f>O23*(1+Assumptions!$B$3)</f>
        <v>329.6475</v>
      </c>
      <c r="Q23" s="10">
        <f>P23*(1+Assumptions!$B$3)</f>
        <v>346.129875</v>
      </c>
      <c r="R23" s="10">
        <f>Q23*(1+Assumptions!$B$3)</f>
        <v>363.43636875</v>
      </c>
      <c r="S23" s="9"/>
    </row>
    <row r="24" outlineLevel="1" spans="1:19">
      <c r="A24" s="5" t="s">
        <v>29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>
        <v>80</v>
      </c>
      <c r="N24" s="8"/>
      <c r="O24" s="10">
        <f>M24*(1+Assumptions!$B$3)</f>
        <v>84</v>
      </c>
      <c r="P24" s="10">
        <f>O24*(1+Assumptions!$B$3)</f>
        <v>88.2</v>
      </c>
      <c r="Q24" s="10">
        <f>P24*(1+Assumptions!$B$3)</f>
        <v>92.61</v>
      </c>
      <c r="R24" s="10">
        <f>Q24*(1+Assumptions!$B$3)</f>
        <v>97.2405</v>
      </c>
      <c r="S24" s="9"/>
    </row>
    <row r="25" outlineLevel="1" spans="1:19">
      <c r="A25" s="5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9"/>
    </row>
    <row r="26" outlineLevel="1" spans="1:19">
      <c r="A26" s="5" t="s">
        <v>36</v>
      </c>
      <c r="B26" s="90">
        <f>B29*B28</f>
        <v>0</v>
      </c>
      <c r="C26" s="90">
        <f t="shared" ref="C26:M26" si="48">C29*C28</f>
        <v>0</v>
      </c>
      <c r="D26" s="90">
        <f t="shared" si="48"/>
        <v>0</v>
      </c>
      <c r="E26" s="90">
        <f t="shared" si="48"/>
        <v>0</v>
      </c>
      <c r="F26" s="90">
        <f t="shared" si="48"/>
        <v>0</v>
      </c>
      <c r="G26" s="90">
        <f t="shared" si="48"/>
        <v>0</v>
      </c>
      <c r="H26" s="90">
        <f t="shared" si="48"/>
        <v>0</v>
      </c>
      <c r="I26" s="90">
        <f t="shared" si="48"/>
        <v>0</v>
      </c>
      <c r="J26" s="90">
        <f t="shared" si="48"/>
        <v>0</v>
      </c>
      <c r="K26" s="90">
        <f t="shared" si="48"/>
        <v>0</v>
      </c>
      <c r="L26" s="90">
        <f t="shared" si="48"/>
        <v>0</v>
      </c>
      <c r="M26" s="90">
        <f t="shared" si="48"/>
        <v>500000</v>
      </c>
      <c r="N26" s="90">
        <f>SUM(B26:M26)</f>
        <v>500000</v>
      </c>
      <c r="O26" s="90">
        <f>O29*O28</f>
        <v>8190000</v>
      </c>
      <c r="P26" s="90">
        <f t="shared" ref="P26:R26" si="49">P29*P28</f>
        <v>11179350</v>
      </c>
      <c r="Q26" s="90">
        <f t="shared" si="49"/>
        <v>15259812.75</v>
      </c>
      <c r="R26" s="90">
        <f t="shared" si="49"/>
        <v>20829644.40375</v>
      </c>
      <c r="S26" s="102">
        <f>SUM(N26:R26)</f>
        <v>55958807.15375</v>
      </c>
    </row>
    <row r="27" outlineLevel="1" spans="1:19">
      <c r="A27" s="5" t="s">
        <v>37</v>
      </c>
      <c r="B27" s="90">
        <f>B28*B30</f>
        <v>0</v>
      </c>
      <c r="C27" s="90">
        <f t="shared" ref="C27" si="50">C28*C30</f>
        <v>0</v>
      </c>
      <c r="D27" s="90">
        <f t="shared" ref="D27" si="51">D28*D30</f>
        <v>0</v>
      </c>
      <c r="E27" s="90">
        <f t="shared" ref="E27" si="52">E28*E30</f>
        <v>0</v>
      </c>
      <c r="F27" s="90">
        <f t="shared" ref="F27" si="53">F28*F30</f>
        <v>0</v>
      </c>
      <c r="G27" s="90">
        <f t="shared" ref="G27" si="54">G28*G30</f>
        <v>0</v>
      </c>
      <c r="H27" s="90">
        <f t="shared" ref="H27" si="55">H28*H30</f>
        <v>0</v>
      </c>
      <c r="I27" s="90">
        <f t="shared" ref="I27" si="56">I28*I30</f>
        <v>0</v>
      </c>
      <c r="J27" s="90">
        <f t="shared" ref="J27" si="57">J28*J30</f>
        <v>0</v>
      </c>
      <c r="K27" s="90">
        <f t="shared" ref="K27" si="58">K28*K30</f>
        <v>0</v>
      </c>
      <c r="L27" s="90">
        <f t="shared" ref="L27" si="59">L28*L30</f>
        <v>0</v>
      </c>
      <c r="M27" s="90">
        <f t="shared" ref="M27" si="60">M28*M30</f>
        <v>165000</v>
      </c>
      <c r="N27" s="90">
        <f>SUM(B27:M27)</f>
        <v>165000</v>
      </c>
      <c r="O27" s="90">
        <f>O30*O28</f>
        <v>2702700</v>
      </c>
      <c r="P27" s="90">
        <f t="shared" ref="P27:R27" si="61">P30*P28</f>
        <v>3689185.5</v>
      </c>
      <c r="Q27" s="90">
        <f t="shared" si="61"/>
        <v>5035738.2075</v>
      </c>
      <c r="R27" s="90">
        <f t="shared" si="61"/>
        <v>6873782.6532375</v>
      </c>
      <c r="S27" s="102">
        <f>SUM(N27:R27)</f>
        <v>18466406.3607375</v>
      </c>
    </row>
    <row r="28" outlineLevel="1" spans="1:19">
      <c r="A28" s="5" t="s">
        <v>27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>
        <v>1000</v>
      </c>
      <c r="N28" s="10">
        <f>SUM(B28:M28)</f>
        <v>1000</v>
      </c>
      <c r="O28" s="10">
        <f>M28*12*(Assumptions!$B$7+1)</f>
        <v>15600</v>
      </c>
      <c r="P28" s="10">
        <f>O28*(Assumptions!$B$7+1)</f>
        <v>20280</v>
      </c>
      <c r="Q28" s="10">
        <f>P28*(Assumptions!$B$7+1)</f>
        <v>26364</v>
      </c>
      <c r="R28" s="10">
        <f>Q28*(Assumptions!$B$7+1)</f>
        <v>34273.2</v>
      </c>
      <c r="S28" s="9"/>
    </row>
    <row r="29" outlineLevel="1" spans="1:19">
      <c r="A29" s="5" t="s">
        <v>28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>
        <v>500</v>
      </c>
      <c r="N29" s="10"/>
      <c r="O29" s="10">
        <f>M29*(1+Assumptions!$B$3)</f>
        <v>525</v>
      </c>
      <c r="P29" s="10">
        <f>O29*(1+Assumptions!$B$3)</f>
        <v>551.25</v>
      </c>
      <c r="Q29" s="10">
        <f>P29*(1+Assumptions!$B$3)</f>
        <v>578.8125</v>
      </c>
      <c r="R29" s="10">
        <f>Q29*(1+Assumptions!$B$3)</f>
        <v>607.753125</v>
      </c>
      <c r="S29" s="9"/>
    </row>
    <row r="30" outlineLevel="1" spans="1:19">
      <c r="A30" s="5" t="s">
        <v>29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>
        <v>165</v>
      </c>
      <c r="N30" s="8"/>
      <c r="O30" s="10">
        <f>M30*(1+Assumptions!$B$3)</f>
        <v>173.25</v>
      </c>
      <c r="P30" s="10">
        <f>O30*(1+Assumptions!$B$3)</f>
        <v>181.9125</v>
      </c>
      <c r="Q30" s="10">
        <f>P30*(1+Assumptions!$B$3)</f>
        <v>191.008125</v>
      </c>
      <c r="R30" s="10">
        <f>Q30*(1+Assumptions!$B$3)</f>
        <v>200.55853125</v>
      </c>
      <c r="S30" s="9"/>
    </row>
    <row r="31" spans="1:19">
      <c r="A31" s="5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9"/>
    </row>
    <row r="32" spans="1:19">
      <c r="A32" s="93">
        <v>0</v>
      </c>
      <c r="B32" s="90">
        <f>B35*B34</f>
        <v>0</v>
      </c>
      <c r="C32" s="90">
        <f t="shared" ref="C32:M32" si="62">C35*C34</f>
        <v>0</v>
      </c>
      <c r="D32" s="90">
        <f t="shared" si="62"/>
        <v>0</v>
      </c>
      <c r="E32" s="90">
        <f t="shared" si="62"/>
        <v>0</v>
      </c>
      <c r="F32" s="90">
        <f t="shared" si="62"/>
        <v>0</v>
      </c>
      <c r="G32" s="90">
        <f t="shared" si="62"/>
        <v>0</v>
      </c>
      <c r="H32" s="90">
        <f t="shared" si="62"/>
        <v>0</v>
      </c>
      <c r="I32" s="90">
        <f t="shared" si="62"/>
        <v>0</v>
      </c>
      <c r="J32" s="90">
        <f t="shared" si="62"/>
        <v>0</v>
      </c>
      <c r="K32" s="90">
        <f t="shared" si="62"/>
        <v>0</v>
      </c>
      <c r="L32" s="90">
        <f t="shared" si="62"/>
        <v>0</v>
      </c>
      <c r="M32" s="90">
        <f t="shared" si="62"/>
        <v>0</v>
      </c>
      <c r="N32" s="90">
        <f>SUM(B32:M32)</f>
        <v>0</v>
      </c>
      <c r="O32" s="90">
        <f>O35*O34</f>
        <v>0</v>
      </c>
      <c r="P32" s="90">
        <f t="shared" ref="P32:R32" si="63">P35*P34</f>
        <v>0</v>
      </c>
      <c r="Q32" s="90">
        <f t="shared" si="63"/>
        <v>0</v>
      </c>
      <c r="R32" s="90">
        <f t="shared" si="63"/>
        <v>0</v>
      </c>
      <c r="S32" s="102">
        <f>SUM(N32:R32)</f>
        <v>0</v>
      </c>
    </row>
    <row r="33" spans="1:19">
      <c r="A33" s="93">
        <f>-A34</f>
        <v>0</v>
      </c>
      <c r="B33" s="90">
        <f>B34*B36</f>
        <v>0</v>
      </c>
      <c r="C33" s="90">
        <f t="shared" ref="C33" si="64">C34*C36</f>
        <v>0</v>
      </c>
      <c r="D33" s="90">
        <f t="shared" ref="D33" si="65">D34*D36</f>
        <v>0</v>
      </c>
      <c r="E33" s="90">
        <f t="shared" ref="E33" si="66">E34*E36</f>
        <v>0</v>
      </c>
      <c r="F33" s="90">
        <f t="shared" ref="F33" si="67">F34*F36</f>
        <v>0</v>
      </c>
      <c r="G33" s="90">
        <f t="shared" ref="G33" si="68">G34*G36</f>
        <v>0</v>
      </c>
      <c r="H33" s="90">
        <f t="shared" ref="H33" si="69">H34*H36</f>
        <v>0</v>
      </c>
      <c r="I33" s="90">
        <f t="shared" ref="I33" si="70">I34*I36</f>
        <v>0</v>
      </c>
      <c r="J33" s="90">
        <f t="shared" ref="J33" si="71">J34*J36</f>
        <v>0</v>
      </c>
      <c r="K33" s="90">
        <f t="shared" ref="K33" si="72">K34*K36</f>
        <v>0</v>
      </c>
      <c r="L33" s="90">
        <f t="shared" ref="L33" si="73">L34*L36</f>
        <v>0</v>
      </c>
      <c r="M33" s="90">
        <f t="shared" ref="M33" si="74">M34*M36</f>
        <v>0</v>
      </c>
      <c r="N33" s="90">
        <f>SUM(B33:M33)</f>
        <v>0</v>
      </c>
      <c r="O33" s="90">
        <f>O36*O34</f>
        <v>0</v>
      </c>
      <c r="P33" s="90">
        <f t="shared" ref="P33:R33" si="75">P36*P34</f>
        <v>0</v>
      </c>
      <c r="Q33" s="90">
        <f t="shared" si="75"/>
        <v>0</v>
      </c>
      <c r="R33" s="90">
        <f t="shared" si="75"/>
        <v>0</v>
      </c>
      <c r="S33" s="102">
        <f>SUM(N33:R33)</f>
        <v>0</v>
      </c>
    </row>
    <row r="34" spans="1:19">
      <c r="A34" s="5">
        <f>A43</f>
        <v>0</v>
      </c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10">
        <f>SUM(B34:M34)</f>
        <v>0</v>
      </c>
      <c r="O34" s="10">
        <f>M34*12*(Assumptions!$B$7+1)</f>
        <v>0</v>
      </c>
      <c r="P34" s="10">
        <f>O34*(Assumptions!$B$7+1)</f>
        <v>0</v>
      </c>
      <c r="Q34" s="10">
        <f>P34*(Assumptions!$B$7+1)</f>
        <v>0</v>
      </c>
      <c r="R34" s="10">
        <f>Q34*(Assumptions!$B$7+1)</f>
        <v>0</v>
      </c>
      <c r="S34" s="9"/>
    </row>
    <row r="35" spans="1:19">
      <c r="A35" s="5">
        <v>0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10"/>
      <c r="O35" s="10">
        <f>M35*(1+Assumptions!$B$3)</f>
        <v>0</v>
      </c>
      <c r="P35" s="10">
        <f>O35*(1+Assumptions!$B$3)</f>
        <v>0</v>
      </c>
      <c r="Q35" s="10">
        <f>P35*(1+Assumptions!$B$3)</f>
        <v>0</v>
      </c>
      <c r="R35" s="10">
        <f>Q35*(1+Assumptions!$B$3)</f>
        <v>0</v>
      </c>
      <c r="S35" s="9"/>
    </row>
    <row r="36" spans="1:19">
      <c r="A36" s="5">
        <v>0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8"/>
      <c r="O36" s="10">
        <f>M36*(1+Assumptions!$B$3)</f>
        <v>0</v>
      </c>
      <c r="P36" s="10">
        <f>O36*(1+Assumptions!$B$3)</f>
        <v>0</v>
      </c>
      <c r="Q36" s="10">
        <f>P36*(1+Assumptions!$B$3)</f>
        <v>0</v>
      </c>
      <c r="R36" s="10">
        <f>Q36*(1+Assumptions!$B$3)</f>
        <v>0</v>
      </c>
      <c r="S36" s="9"/>
    </row>
    <row r="37" spans="1:19">
      <c r="A37" s="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9"/>
    </row>
    <row r="38" spans="1:19">
      <c r="A38" s="5">
        <v>0</v>
      </c>
      <c r="B38" s="90">
        <f>B41*B40</f>
        <v>0</v>
      </c>
      <c r="C38" s="90">
        <f t="shared" ref="C38:M38" si="76">C41*C40</f>
        <v>0</v>
      </c>
      <c r="D38" s="90">
        <f t="shared" si="76"/>
        <v>0</v>
      </c>
      <c r="E38" s="90">
        <f t="shared" si="76"/>
        <v>0</v>
      </c>
      <c r="F38" s="90">
        <f t="shared" si="76"/>
        <v>0</v>
      </c>
      <c r="G38" s="90">
        <f t="shared" si="76"/>
        <v>0</v>
      </c>
      <c r="H38" s="90">
        <f t="shared" si="76"/>
        <v>0</v>
      </c>
      <c r="I38" s="90">
        <f t="shared" si="76"/>
        <v>0</v>
      </c>
      <c r="J38" s="90">
        <f t="shared" si="76"/>
        <v>0</v>
      </c>
      <c r="K38" s="90">
        <f t="shared" si="76"/>
        <v>0</v>
      </c>
      <c r="L38" s="90">
        <f t="shared" si="76"/>
        <v>0</v>
      </c>
      <c r="M38" s="90">
        <f t="shared" si="76"/>
        <v>0</v>
      </c>
      <c r="N38" s="90">
        <f>SUM(B38:M38)</f>
        <v>0</v>
      </c>
      <c r="O38" s="90">
        <f>O41*O40</f>
        <v>0</v>
      </c>
      <c r="P38" s="90">
        <f t="shared" ref="P38:R38" si="77">P41*P40</f>
        <v>0</v>
      </c>
      <c r="Q38" s="90">
        <f t="shared" si="77"/>
        <v>0</v>
      </c>
      <c r="R38" s="90">
        <f t="shared" si="77"/>
        <v>0</v>
      </c>
      <c r="S38" s="102">
        <f>SUM(N38:R38)</f>
        <v>0</v>
      </c>
    </row>
    <row r="39" spans="1:19">
      <c r="A39" s="5">
        <v>0</v>
      </c>
      <c r="B39" s="90">
        <f>B40*B42</f>
        <v>0</v>
      </c>
      <c r="C39" s="90">
        <f t="shared" ref="C39" si="78">C40*C42</f>
        <v>0</v>
      </c>
      <c r="D39" s="90">
        <f t="shared" ref="D39" si="79">D40*D42</f>
        <v>0</v>
      </c>
      <c r="E39" s="90">
        <f t="shared" ref="E39" si="80">E40*E42</f>
        <v>0</v>
      </c>
      <c r="F39" s="90">
        <f t="shared" ref="F39" si="81">F40*F42</f>
        <v>0</v>
      </c>
      <c r="G39" s="90">
        <f t="shared" ref="G39" si="82">G40*G42</f>
        <v>0</v>
      </c>
      <c r="H39" s="90">
        <f t="shared" ref="H39" si="83">H40*H42</f>
        <v>0</v>
      </c>
      <c r="I39" s="90">
        <f t="shared" ref="I39" si="84">I40*I42</f>
        <v>0</v>
      </c>
      <c r="J39" s="90">
        <f t="shared" ref="J39" si="85">J40*J42</f>
        <v>0</v>
      </c>
      <c r="K39" s="90">
        <f t="shared" ref="K39" si="86">K40*K42</f>
        <v>0</v>
      </c>
      <c r="L39" s="90">
        <f t="shared" ref="L39" si="87">L40*L42</f>
        <v>0</v>
      </c>
      <c r="M39" s="90">
        <f t="shared" ref="M39" si="88">M40*M42</f>
        <v>0</v>
      </c>
      <c r="N39" s="90">
        <f>SUM(B39:M39)</f>
        <v>0</v>
      </c>
      <c r="O39" s="90">
        <f>O42*O40</f>
        <v>0</v>
      </c>
      <c r="P39" s="90">
        <f t="shared" ref="P39:R39" si="89">P42*P40</f>
        <v>0</v>
      </c>
      <c r="Q39" s="90">
        <f t="shared" si="89"/>
        <v>0</v>
      </c>
      <c r="R39" s="90">
        <f t="shared" si="89"/>
        <v>0</v>
      </c>
      <c r="S39" s="102">
        <f>SUM(N39:R39)</f>
        <v>0</v>
      </c>
    </row>
    <row r="40" spans="1:19">
      <c r="A40" s="5">
        <v>0</v>
      </c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10">
        <f>SUM(B40:M40)</f>
        <v>0</v>
      </c>
      <c r="O40" s="10">
        <f>M40*12*(Assumptions!$B$7+1)</f>
        <v>0</v>
      </c>
      <c r="P40" s="10">
        <f>O40*(Assumptions!$B$7+1)</f>
        <v>0</v>
      </c>
      <c r="Q40" s="10">
        <f>P40*(Assumptions!$B$7+1)</f>
        <v>0</v>
      </c>
      <c r="R40" s="10">
        <f>Q40*(Assumptions!$B$7+1)</f>
        <v>0</v>
      </c>
      <c r="S40" s="9"/>
    </row>
    <row r="41" spans="1:19">
      <c r="A41" s="5">
        <v>0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10"/>
      <c r="O41" s="10">
        <f>M41*(1+Assumptions!$B$3)</f>
        <v>0</v>
      </c>
      <c r="P41" s="10">
        <f>O41*(1+Assumptions!$B$3)</f>
        <v>0</v>
      </c>
      <c r="Q41" s="10">
        <f>P41*(1+Assumptions!$B$3)</f>
        <v>0</v>
      </c>
      <c r="R41" s="10">
        <f>Q41*(1+Assumptions!$B$3)</f>
        <v>0</v>
      </c>
      <c r="S41" s="9"/>
    </row>
    <row r="42" spans="1:19">
      <c r="A42" s="5">
        <v>0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8"/>
      <c r="O42" s="10">
        <f>M42*(1+Assumptions!$B$3)</f>
        <v>0</v>
      </c>
      <c r="P42" s="10">
        <f>O42*(1+Assumptions!$B$3)</f>
        <v>0</v>
      </c>
      <c r="Q42" s="10">
        <f>P42*(1+Assumptions!$B$3)</f>
        <v>0</v>
      </c>
      <c r="R42" s="10">
        <f>Q42*(1+Assumptions!$B$3)</f>
        <v>0</v>
      </c>
      <c r="S42" s="9"/>
    </row>
    <row r="43" spans="1:19">
      <c r="A43" s="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9"/>
    </row>
    <row r="44" spans="1:19">
      <c r="A44" s="5">
        <v>0</v>
      </c>
      <c r="B44" s="90">
        <f>B47*B46</f>
        <v>0</v>
      </c>
      <c r="C44" s="90">
        <f t="shared" ref="C44:M44" si="90">C47*C46</f>
        <v>0</v>
      </c>
      <c r="D44" s="90">
        <f t="shared" si="90"/>
        <v>0</v>
      </c>
      <c r="E44" s="90">
        <f t="shared" si="90"/>
        <v>0</v>
      </c>
      <c r="F44" s="90">
        <f t="shared" si="90"/>
        <v>0</v>
      </c>
      <c r="G44" s="90">
        <f t="shared" si="90"/>
        <v>0</v>
      </c>
      <c r="H44" s="90">
        <f t="shared" si="90"/>
        <v>0</v>
      </c>
      <c r="I44" s="90">
        <f t="shared" si="90"/>
        <v>0</v>
      </c>
      <c r="J44" s="90">
        <f t="shared" si="90"/>
        <v>0</v>
      </c>
      <c r="K44" s="90">
        <f t="shared" si="90"/>
        <v>0</v>
      </c>
      <c r="L44" s="90">
        <f t="shared" si="90"/>
        <v>0</v>
      </c>
      <c r="M44" s="90">
        <f t="shared" si="90"/>
        <v>0</v>
      </c>
      <c r="N44" s="90">
        <f>SUM(B44:M44)</f>
        <v>0</v>
      </c>
      <c r="O44" s="90">
        <f>O47*O46</f>
        <v>0</v>
      </c>
      <c r="P44" s="90">
        <f t="shared" ref="P44:R44" si="91">P47*P46</f>
        <v>0</v>
      </c>
      <c r="Q44" s="90">
        <f t="shared" si="91"/>
        <v>0</v>
      </c>
      <c r="R44" s="90">
        <f t="shared" si="91"/>
        <v>0</v>
      </c>
      <c r="S44" s="102">
        <f>SUM(N44:R44)</f>
        <v>0</v>
      </c>
    </row>
    <row r="45" spans="1:19">
      <c r="A45" s="5">
        <v>0</v>
      </c>
      <c r="B45" s="90">
        <f>B46*B48</f>
        <v>0</v>
      </c>
      <c r="C45" s="90">
        <f t="shared" ref="C45" si="92">C46*C48</f>
        <v>0</v>
      </c>
      <c r="D45" s="90">
        <f t="shared" ref="D45" si="93">D46*D48</f>
        <v>0</v>
      </c>
      <c r="E45" s="90">
        <f t="shared" ref="E45" si="94">E46*E48</f>
        <v>0</v>
      </c>
      <c r="F45" s="90">
        <f t="shared" ref="F45" si="95">F46*F48</f>
        <v>0</v>
      </c>
      <c r="G45" s="90">
        <f t="shared" ref="G45" si="96">G46*G48</f>
        <v>0</v>
      </c>
      <c r="H45" s="90">
        <f t="shared" ref="H45" si="97">H46*H48</f>
        <v>0</v>
      </c>
      <c r="I45" s="90">
        <f t="shared" ref="I45" si="98">I46*I48</f>
        <v>0</v>
      </c>
      <c r="J45" s="90">
        <f t="shared" ref="J45" si="99">J46*J48</f>
        <v>0</v>
      </c>
      <c r="K45" s="90">
        <f t="shared" ref="K45" si="100">K46*K48</f>
        <v>0</v>
      </c>
      <c r="L45" s="90">
        <f t="shared" ref="L45" si="101">L46*L48</f>
        <v>0</v>
      </c>
      <c r="M45" s="90">
        <f t="shared" ref="M45" si="102">M46*M48</f>
        <v>0</v>
      </c>
      <c r="N45" s="90">
        <f>SUM(B45:M45)</f>
        <v>0</v>
      </c>
      <c r="O45" s="90">
        <f>O48*O46</f>
        <v>0</v>
      </c>
      <c r="P45" s="90">
        <f t="shared" ref="P45:R45" si="103">P48*P46</f>
        <v>0</v>
      </c>
      <c r="Q45" s="90">
        <f t="shared" si="103"/>
        <v>0</v>
      </c>
      <c r="R45" s="90">
        <f t="shared" si="103"/>
        <v>0</v>
      </c>
      <c r="S45" s="102">
        <f>SUM(N45:R45)</f>
        <v>0</v>
      </c>
    </row>
    <row r="46" spans="1:19">
      <c r="A46" s="5">
        <v>0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10">
        <f>SUM(B46:M46)</f>
        <v>0</v>
      </c>
      <c r="O46" s="10">
        <f>M46*12*(Assumptions!$B$7+1)</f>
        <v>0</v>
      </c>
      <c r="P46" s="10">
        <f>O46*(Assumptions!$B$7+1)</f>
        <v>0</v>
      </c>
      <c r="Q46" s="10">
        <f>P46*(Assumptions!$B$7+1)</f>
        <v>0</v>
      </c>
      <c r="R46" s="10">
        <f>Q46*(Assumptions!$B$7+1)</f>
        <v>0</v>
      </c>
      <c r="S46" s="9"/>
    </row>
    <row r="47" spans="1:19">
      <c r="A47" s="5">
        <v>0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10"/>
      <c r="O47" s="10">
        <f>M47*(1+Assumptions!$B$3)</f>
        <v>0</v>
      </c>
      <c r="P47" s="10">
        <f>O47*(1+Assumptions!$B$3)</f>
        <v>0</v>
      </c>
      <c r="Q47" s="10">
        <f>P47*(1+Assumptions!$B$3)</f>
        <v>0</v>
      </c>
      <c r="R47" s="10">
        <f>Q47*(1+Assumptions!$B$3)</f>
        <v>0</v>
      </c>
      <c r="S47" s="9"/>
    </row>
    <row r="48" spans="1:19">
      <c r="A48" s="5">
        <v>0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8"/>
      <c r="O48" s="10">
        <f>M48*(1+Assumptions!$B$3)</f>
        <v>0</v>
      </c>
      <c r="P48" s="10">
        <f>O48*(1+Assumptions!$B$3)</f>
        <v>0</v>
      </c>
      <c r="Q48" s="10">
        <f>P48*(1+Assumptions!$B$3)</f>
        <v>0</v>
      </c>
      <c r="R48" s="10">
        <f>Q48*(1+Assumptions!$B$3)</f>
        <v>0</v>
      </c>
      <c r="S48" s="9"/>
    </row>
    <row r="49" spans="1:19">
      <c r="A49" s="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9"/>
    </row>
    <row r="50" spans="1:19">
      <c r="A50" s="5">
        <v>0</v>
      </c>
      <c r="B50" s="90">
        <f>B53*B52</f>
        <v>0</v>
      </c>
      <c r="C50" s="90">
        <f t="shared" ref="C50:M50" si="104">C53*C52</f>
        <v>0</v>
      </c>
      <c r="D50" s="90">
        <f t="shared" si="104"/>
        <v>0</v>
      </c>
      <c r="E50" s="90">
        <f t="shared" si="104"/>
        <v>0</v>
      </c>
      <c r="F50" s="90">
        <f t="shared" si="104"/>
        <v>0</v>
      </c>
      <c r="G50" s="90">
        <f t="shared" si="104"/>
        <v>0</v>
      </c>
      <c r="H50" s="90">
        <f t="shared" si="104"/>
        <v>0</v>
      </c>
      <c r="I50" s="90">
        <f t="shared" si="104"/>
        <v>0</v>
      </c>
      <c r="J50" s="90">
        <f t="shared" si="104"/>
        <v>0</v>
      </c>
      <c r="K50" s="90">
        <f t="shared" si="104"/>
        <v>0</v>
      </c>
      <c r="L50" s="90">
        <f t="shared" si="104"/>
        <v>0</v>
      </c>
      <c r="M50" s="90">
        <f t="shared" si="104"/>
        <v>0</v>
      </c>
      <c r="N50" s="90">
        <f>SUM(B50:M50)</f>
        <v>0</v>
      </c>
      <c r="O50" s="90">
        <f>O53*O52</f>
        <v>0</v>
      </c>
      <c r="P50" s="90">
        <f t="shared" ref="P50:R50" si="105">P53*P52</f>
        <v>0</v>
      </c>
      <c r="Q50" s="90">
        <f t="shared" si="105"/>
        <v>0</v>
      </c>
      <c r="R50" s="90">
        <f t="shared" si="105"/>
        <v>0</v>
      </c>
      <c r="S50" s="102">
        <f>SUM(N50:R50)</f>
        <v>0</v>
      </c>
    </row>
    <row r="51" spans="1:19">
      <c r="A51" s="5">
        <v>0</v>
      </c>
      <c r="B51" s="90">
        <f>B52*B54</f>
        <v>0</v>
      </c>
      <c r="C51" s="90">
        <f t="shared" ref="C51" si="106">C52*C54</f>
        <v>0</v>
      </c>
      <c r="D51" s="90">
        <f t="shared" ref="D51" si="107">D52*D54</f>
        <v>0</v>
      </c>
      <c r="E51" s="90">
        <f t="shared" ref="E51" si="108">E52*E54</f>
        <v>0</v>
      </c>
      <c r="F51" s="90">
        <f t="shared" ref="F51" si="109">F52*F54</f>
        <v>0</v>
      </c>
      <c r="G51" s="90">
        <f t="shared" ref="G51" si="110">G52*G54</f>
        <v>0</v>
      </c>
      <c r="H51" s="90">
        <f t="shared" ref="H51" si="111">H52*H54</f>
        <v>0</v>
      </c>
      <c r="I51" s="90">
        <f t="shared" ref="I51" si="112">I52*I54</f>
        <v>0</v>
      </c>
      <c r="J51" s="90">
        <f t="shared" ref="J51" si="113">J52*J54</f>
        <v>0</v>
      </c>
      <c r="K51" s="90">
        <f t="shared" ref="K51" si="114">K52*K54</f>
        <v>0</v>
      </c>
      <c r="L51" s="90">
        <f t="shared" ref="L51" si="115">L52*L54</f>
        <v>0</v>
      </c>
      <c r="M51" s="90">
        <f t="shared" ref="M51" si="116">M52*M54</f>
        <v>0</v>
      </c>
      <c r="N51" s="90">
        <f>SUM(B51:M51)</f>
        <v>0</v>
      </c>
      <c r="O51" s="90">
        <f>O54*O52</f>
        <v>0</v>
      </c>
      <c r="P51" s="90">
        <f t="shared" ref="P51:R51" si="117">P54*P52</f>
        <v>0</v>
      </c>
      <c r="Q51" s="90">
        <f t="shared" si="117"/>
        <v>0</v>
      </c>
      <c r="R51" s="90">
        <f t="shared" si="117"/>
        <v>0</v>
      </c>
      <c r="S51" s="102">
        <f>SUM(N51:R51)</f>
        <v>0</v>
      </c>
    </row>
    <row r="52" spans="1:19">
      <c r="A52" s="5">
        <v>0</v>
      </c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10">
        <f>SUM(B52:M52)</f>
        <v>0</v>
      </c>
      <c r="O52" s="10">
        <f>M52*12*(Assumptions!$B$7+1)</f>
        <v>0</v>
      </c>
      <c r="P52" s="10">
        <f>O52*(Assumptions!$B$7+1)</f>
        <v>0</v>
      </c>
      <c r="Q52" s="10">
        <f>P52*(Assumptions!$B$7+1)</f>
        <v>0</v>
      </c>
      <c r="R52" s="10">
        <f>Q52*(Assumptions!$B$7+1)</f>
        <v>0</v>
      </c>
      <c r="S52" s="9"/>
    </row>
    <row r="53" spans="1:19">
      <c r="A53" s="5">
        <v>0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10"/>
      <c r="O53" s="10">
        <f>M53*(1+Assumptions!$B$3)</f>
        <v>0</v>
      </c>
      <c r="P53" s="10">
        <f>O53*(1+Assumptions!$B$3)</f>
        <v>0</v>
      </c>
      <c r="Q53" s="10">
        <f>P53*(1+Assumptions!$B$3)</f>
        <v>0</v>
      </c>
      <c r="R53" s="10">
        <f>Q53*(1+Assumptions!$B$3)</f>
        <v>0</v>
      </c>
      <c r="S53" s="9"/>
    </row>
    <row r="54" spans="1:19">
      <c r="A54" s="5">
        <v>0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8"/>
      <c r="O54" s="10">
        <f>M54*(1+Assumptions!$B$3)</f>
        <v>0</v>
      </c>
      <c r="P54" s="10">
        <f>O54*(1+Assumptions!$B$3)</f>
        <v>0</v>
      </c>
      <c r="Q54" s="10">
        <f>P54*(1+Assumptions!$B$3)</f>
        <v>0</v>
      </c>
      <c r="R54" s="10">
        <f>Q54*(1+Assumptions!$B$3)</f>
        <v>0</v>
      </c>
      <c r="S54" s="9"/>
    </row>
    <row r="55" spans="1:19">
      <c r="A55" s="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9"/>
    </row>
    <row r="56" spans="1:19">
      <c r="A56" s="5">
        <v>0</v>
      </c>
      <c r="B56" s="90">
        <f>B59*B58</f>
        <v>0</v>
      </c>
      <c r="C56" s="90">
        <f t="shared" ref="C56:M56" si="118">C59*C58</f>
        <v>0</v>
      </c>
      <c r="D56" s="90">
        <f t="shared" si="118"/>
        <v>0</v>
      </c>
      <c r="E56" s="90">
        <f t="shared" si="118"/>
        <v>0</v>
      </c>
      <c r="F56" s="90">
        <f t="shared" si="118"/>
        <v>0</v>
      </c>
      <c r="G56" s="90">
        <f t="shared" si="118"/>
        <v>0</v>
      </c>
      <c r="H56" s="90">
        <f t="shared" si="118"/>
        <v>0</v>
      </c>
      <c r="I56" s="90">
        <f t="shared" si="118"/>
        <v>0</v>
      </c>
      <c r="J56" s="90">
        <f t="shared" si="118"/>
        <v>0</v>
      </c>
      <c r="K56" s="90">
        <f t="shared" si="118"/>
        <v>0</v>
      </c>
      <c r="L56" s="90">
        <f t="shared" si="118"/>
        <v>0</v>
      </c>
      <c r="M56" s="90">
        <f t="shared" si="118"/>
        <v>0</v>
      </c>
      <c r="N56" s="90">
        <f>SUM(B56:M56)</f>
        <v>0</v>
      </c>
      <c r="O56" s="90">
        <f>O59*O58</f>
        <v>0</v>
      </c>
      <c r="P56" s="90">
        <f t="shared" ref="P56:R56" si="119">P59*P58</f>
        <v>0</v>
      </c>
      <c r="Q56" s="90">
        <f t="shared" si="119"/>
        <v>0</v>
      </c>
      <c r="R56" s="90">
        <f t="shared" si="119"/>
        <v>0</v>
      </c>
      <c r="S56" s="102">
        <f>SUM(N56:R56)</f>
        <v>0</v>
      </c>
    </row>
    <row r="57" spans="1:19">
      <c r="A57" s="5">
        <v>0</v>
      </c>
      <c r="B57" s="90">
        <f>B58*B60</f>
        <v>0</v>
      </c>
      <c r="C57" s="90">
        <f t="shared" ref="C57" si="120">C58*C60</f>
        <v>0</v>
      </c>
      <c r="D57" s="90">
        <f t="shared" ref="D57" si="121">D58*D60</f>
        <v>0</v>
      </c>
      <c r="E57" s="90">
        <f t="shared" ref="E57" si="122">E58*E60</f>
        <v>0</v>
      </c>
      <c r="F57" s="90">
        <f t="shared" ref="F57" si="123">F58*F60</f>
        <v>0</v>
      </c>
      <c r="G57" s="90">
        <f t="shared" ref="G57" si="124">G58*G60</f>
        <v>0</v>
      </c>
      <c r="H57" s="90">
        <f t="shared" ref="H57" si="125">H58*H60</f>
        <v>0</v>
      </c>
      <c r="I57" s="90">
        <f t="shared" ref="I57" si="126">I58*I60</f>
        <v>0</v>
      </c>
      <c r="J57" s="90">
        <f t="shared" ref="J57" si="127">J58*J60</f>
        <v>0</v>
      </c>
      <c r="K57" s="90">
        <f t="shared" ref="K57" si="128">K58*K60</f>
        <v>0</v>
      </c>
      <c r="L57" s="90">
        <f t="shared" ref="L57" si="129">L58*L60</f>
        <v>0</v>
      </c>
      <c r="M57" s="90">
        <f t="shared" ref="M57" si="130">M58*M60</f>
        <v>0</v>
      </c>
      <c r="N57" s="90">
        <f>SUM(B57:M57)</f>
        <v>0</v>
      </c>
      <c r="O57" s="90">
        <f>O60*O58</f>
        <v>0</v>
      </c>
      <c r="P57" s="90">
        <f t="shared" ref="P57:R57" si="131">P60*P58</f>
        <v>0</v>
      </c>
      <c r="Q57" s="90">
        <f t="shared" si="131"/>
        <v>0</v>
      </c>
      <c r="R57" s="90">
        <f t="shared" si="131"/>
        <v>0</v>
      </c>
      <c r="S57" s="102">
        <f>SUM(N57:R57)</f>
        <v>0</v>
      </c>
    </row>
    <row r="58" spans="1:19">
      <c r="A58" s="5">
        <v>0</v>
      </c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10">
        <f>SUM(B58:M58)</f>
        <v>0</v>
      </c>
      <c r="O58" s="10">
        <f>M58*12*(Assumptions!$B$7+1)</f>
        <v>0</v>
      </c>
      <c r="P58" s="10">
        <f>O58*(Assumptions!$B$7+1)</f>
        <v>0</v>
      </c>
      <c r="Q58" s="10">
        <f>P58*(Assumptions!$B$7+1)</f>
        <v>0</v>
      </c>
      <c r="R58" s="10">
        <f>Q58*(Assumptions!$B$7+1)</f>
        <v>0</v>
      </c>
      <c r="S58" s="9"/>
    </row>
    <row r="59" spans="1:19">
      <c r="A59" s="5">
        <v>0</v>
      </c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10"/>
      <c r="O59" s="10">
        <f>M59*(1+Assumptions!$B$3)</f>
        <v>0</v>
      </c>
      <c r="P59" s="10">
        <f>O59*(1+Assumptions!$B$3)</f>
        <v>0</v>
      </c>
      <c r="Q59" s="10">
        <f>P59*(1+Assumptions!$B$3)</f>
        <v>0</v>
      </c>
      <c r="R59" s="10">
        <f>Q59*(1+Assumptions!$B$3)</f>
        <v>0</v>
      </c>
      <c r="S59" s="9"/>
    </row>
    <row r="60" ht="15.15" spans="1:19">
      <c r="A60" s="11">
        <v>0</v>
      </c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7"/>
      <c r="O60" s="12">
        <f>M60*(1+Assumptions!$B$3)</f>
        <v>0</v>
      </c>
      <c r="P60" s="12">
        <f>O60*(1+Assumptions!$B$3)</f>
        <v>0</v>
      </c>
      <c r="Q60" s="12">
        <f>P60*(1+Assumptions!$B$3)</f>
        <v>0</v>
      </c>
      <c r="R60" s="12">
        <f>Q60*(1+Assumptions!$B$3)</f>
        <v>0</v>
      </c>
      <c r="S60" s="104"/>
    </row>
    <row r="61" ht="15.9" spans="14:19">
      <c r="N61" s="99" t="s">
        <v>19</v>
      </c>
      <c r="O61" s="99" t="s">
        <v>20</v>
      </c>
      <c r="P61" s="99" t="s">
        <v>21</v>
      </c>
      <c r="Q61" s="99" t="s">
        <v>22</v>
      </c>
      <c r="R61" s="99" t="s">
        <v>23</v>
      </c>
      <c r="S61" s="99" t="s">
        <v>24</v>
      </c>
    </row>
    <row r="62" spans="1:20">
      <c r="A62" s="2" t="s">
        <v>38</v>
      </c>
      <c r="B62" s="95">
        <f t="shared" ref="B62:N62" si="132">B2+B8+B14+B20+B26+B32+B38+B38+B44+B50+B56</f>
        <v>0</v>
      </c>
      <c r="C62" s="95">
        <f t="shared" si="132"/>
        <v>0</v>
      </c>
      <c r="D62" s="95">
        <f t="shared" si="132"/>
        <v>0</v>
      </c>
      <c r="E62" s="95">
        <f t="shared" si="132"/>
        <v>0</v>
      </c>
      <c r="F62" s="95">
        <f t="shared" si="132"/>
        <v>0</v>
      </c>
      <c r="G62" s="95">
        <f t="shared" si="132"/>
        <v>0</v>
      </c>
      <c r="H62" s="95">
        <f t="shared" si="132"/>
        <v>0</v>
      </c>
      <c r="I62" s="95">
        <f t="shared" si="132"/>
        <v>0</v>
      </c>
      <c r="J62" s="95">
        <f t="shared" si="132"/>
        <v>0</v>
      </c>
      <c r="K62" s="95">
        <f t="shared" si="132"/>
        <v>0</v>
      </c>
      <c r="L62" s="95">
        <f t="shared" si="132"/>
        <v>0</v>
      </c>
      <c r="M62" s="95">
        <f t="shared" si="132"/>
        <v>621190</v>
      </c>
      <c r="N62" s="95">
        <f t="shared" si="132"/>
        <v>621190</v>
      </c>
      <c r="O62" s="95">
        <f t="shared" ref="O62:R62" si="133">O2+O8+O14+O20+O26+O32+O38+O38+O44+O50+O56</f>
        <v>10175092.2</v>
      </c>
      <c r="P62" s="95">
        <f t="shared" si="133"/>
        <v>13889000.853</v>
      </c>
      <c r="Q62" s="95">
        <f t="shared" si="133"/>
        <v>18958486.164345</v>
      </c>
      <c r="R62" s="95">
        <f t="shared" si="133"/>
        <v>25878333.6143309</v>
      </c>
      <c r="S62" s="95">
        <f>SUM(N62:R62)</f>
        <v>69522102.8316759</v>
      </c>
      <c r="T62" s="87">
        <f>S62/S62</f>
        <v>1</v>
      </c>
    </row>
    <row r="63" spans="1:20">
      <c r="A63" s="5" t="s">
        <v>39</v>
      </c>
      <c r="B63" s="96">
        <f t="shared" ref="B63:N63" si="134">B3+B9+B15+B21+B27+B33+B39+B39+B45+B51+B57</f>
        <v>0</v>
      </c>
      <c r="C63" s="96">
        <f t="shared" si="134"/>
        <v>0</v>
      </c>
      <c r="D63" s="96">
        <f t="shared" si="134"/>
        <v>0</v>
      </c>
      <c r="E63" s="96">
        <f t="shared" si="134"/>
        <v>0</v>
      </c>
      <c r="F63" s="96">
        <f t="shared" si="134"/>
        <v>0</v>
      </c>
      <c r="G63" s="96">
        <f t="shared" si="134"/>
        <v>0</v>
      </c>
      <c r="H63" s="96">
        <f t="shared" si="134"/>
        <v>0</v>
      </c>
      <c r="I63" s="96">
        <f t="shared" si="134"/>
        <v>0</v>
      </c>
      <c r="J63" s="96">
        <f t="shared" si="134"/>
        <v>0</v>
      </c>
      <c r="K63" s="96">
        <f t="shared" si="134"/>
        <v>0</v>
      </c>
      <c r="L63" s="96">
        <f t="shared" si="134"/>
        <v>0</v>
      </c>
      <c r="M63" s="96">
        <f t="shared" si="134"/>
        <v>207980</v>
      </c>
      <c r="N63" s="96">
        <f t="shared" si="134"/>
        <v>207980</v>
      </c>
      <c r="O63" s="96">
        <f t="shared" ref="O63:R63" si="135">O3+O9+O15+O21+O27+O33+O39+O39+O45+O51+O57</f>
        <v>3406712.4</v>
      </c>
      <c r="P63" s="96">
        <f t="shared" si="135"/>
        <v>4650162.426</v>
      </c>
      <c r="Q63" s="96">
        <f t="shared" si="135"/>
        <v>6347471.71149</v>
      </c>
      <c r="R63" s="96">
        <f t="shared" si="135"/>
        <v>8664298.88618385</v>
      </c>
      <c r="S63" s="96">
        <f>SUM(N63:R63)</f>
        <v>23276625.4236738</v>
      </c>
      <c r="T63" s="88">
        <f>S63/S62</f>
        <v>0.334808995637406</v>
      </c>
    </row>
    <row r="64" spans="1:20">
      <c r="A64" s="11" t="s">
        <v>40</v>
      </c>
      <c r="B64" s="97">
        <f t="shared" ref="B64:N64" si="136">B62-B63</f>
        <v>0</v>
      </c>
      <c r="C64" s="97">
        <f t="shared" si="136"/>
        <v>0</v>
      </c>
      <c r="D64" s="97">
        <f t="shared" si="136"/>
        <v>0</v>
      </c>
      <c r="E64" s="97">
        <f t="shared" si="136"/>
        <v>0</v>
      </c>
      <c r="F64" s="97">
        <f t="shared" si="136"/>
        <v>0</v>
      </c>
      <c r="G64" s="97">
        <f t="shared" si="136"/>
        <v>0</v>
      </c>
      <c r="H64" s="97">
        <f t="shared" si="136"/>
        <v>0</v>
      </c>
      <c r="I64" s="97">
        <f t="shared" si="136"/>
        <v>0</v>
      </c>
      <c r="J64" s="97">
        <f t="shared" si="136"/>
        <v>0</v>
      </c>
      <c r="K64" s="97">
        <f t="shared" si="136"/>
        <v>0</v>
      </c>
      <c r="L64" s="97">
        <f t="shared" si="136"/>
        <v>0</v>
      </c>
      <c r="M64" s="97">
        <f t="shared" si="136"/>
        <v>413210</v>
      </c>
      <c r="N64" s="100">
        <f t="shared" si="136"/>
        <v>413210</v>
      </c>
      <c r="O64" s="100">
        <f t="shared" ref="O64:R64" si="137">O62-O63</f>
        <v>6768379.8</v>
      </c>
      <c r="P64" s="100">
        <f t="shared" si="137"/>
        <v>9238838.427</v>
      </c>
      <c r="Q64" s="100">
        <f t="shared" si="137"/>
        <v>12611014.452855</v>
      </c>
      <c r="R64" s="100">
        <f t="shared" si="137"/>
        <v>17214034.7281471</v>
      </c>
      <c r="S64" s="100">
        <f>SUM(N64:R64)</f>
        <v>46245477.4080021</v>
      </c>
      <c r="T64" s="105">
        <f>S64/S62</f>
        <v>0.665191004362594</v>
      </c>
    </row>
    <row r="65" ht="15.15"/>
  </sheetData>
  <pageMargins left="0.7" right="0.7" top="0.75" bottom="0.75" header="0.3" footer="0.3"/>
  <pageSetup paperSize="9" orientation="portrait"/>
  <headerFooter/>
  <ignoredErrors>
    <ignoredError sqref="N35:N44 N47:N50 N53:N55 N56:R58 N59 N2:O2 N8:N9 N11:N14 N17:N3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"/>
  <sheetViews>
    <sheetView topLeftCell="B1" workbookViewId="0">
      <selection activeCell="C24" sqref="C24"/>
    </sheetView>
  </sheetViews>
  <sheetFormatPr defaultColWidth="9" defaultRowHeight="14.4"/>
  <cols>
    <col min="1" max="1" width="24.8888888888889" style="60" customWidth="1"/>
    <col min="2" max="2" width="10.3333333333333" customWidth="1" outlineLevel="1"/>
    <col min="3" max="6" width="9.33333333333333" customWidth="1" outlineLevel="1"/>
    <col min="7" max="13" width="10.3333333333333" customWidth="1" outlineLevel="1"/>
    <col min="14" max="18" width="11.3333333333333" customWidth="1"/>
    <col min="19" max="19" width="12.7777777777778" customWidth="1"/>
    <col min="20" max="20" width="4.44444444444444" customWidth="1"/>
  </cols>
  <sheetData>
    <row r="1" s="1" customFormat="1" ht="15.9" spans="1:20">
      <c r="A1" s="61" t="s">
        <v>41</v>
      </c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68">
        <v>12</v>
      </c>
      <c r="N1" s="69" t="s">
        <v>19</v>
      </c>
      <c r="O1" s="69" t="s">
        <v>20</v>
      </c>
      <c r="P1" s="69" t="s">
        <v>21</v>
      </c>
      <c r="Q1" s="69" t="s">
        <v>22</v>
      </c>
      <c r="R1" s="69" t="s">
        <v>23</v>
      </c>
      <c r="S1" s="69" t="s">
        <v>24</v>
      </c>
      <c r="T1" s="69" t="s">
        <v>42</v>
      </c>
    </row>
    <row r="2" spans="1:20">
      <c r="A2" s="62" t="s">
        <v>43</v>
      </c>
      <c r="B2" s="16">
        <f>'Revenues and Expenses'!B62</f>
        <v>0</v>
      </c>
      <c r="C2" s="16">
        <f>'Revenues and Expenses'!C62</f>
        <v>0</v>
      </c>
      <c r="D2" s="16">
        <f>'Revenues and Expenses'!D62</f>
        <v>0</v>
      </c>
      <c r="E2" s="16">
        <f>'Revenues and Expenses'!E62</f>
        <v>0</v>
      </c>
      <c r="F2" s="16">
        <f>'Revenues and Expenses'!F62</f>
        <v>0</v>
      </c>
      <c r="G2" s="16">
        <f>'Revenues and Expenses'!G62</f>
        <v>0</v>
      </c>
      <c r="H2" s="16">
        <f>'Revenues and Expenses'!H62</f>
        <v>0</v>
      </c>
      <c r="I2" s="16">
        <f>'Revenues and Expenses'!I62</f>
        <v>0</v>
      </c>
      <c r="J2" s="16">
        <f>'Revenues and Expenses'!J62</f>
        <v>0</v>
      </c>
      <c r="K2" s="16">
        <f>'Revenues and Expenses'!K62</f>
        <v>0</v>
      </c>
      <c r="L2" s="16">
        <f>'Revenues and Expenses'!L62</f>
        <v>0</v>
      </c>
      <c r="M2" s="48">
        <f>'Revenues and Expenses'!M62</f>
        <v>621190</v>
      </c>
      <c r="N2" s="70">
        <f>'Revenues and Expenses'!N62</f>
        <v>621190</v>
      </c>
      <c r="O2" s="70">
        <f>'Revenues and Expenses'!O62</f>
        <v>10175092.2</v>
      </c>
      <c r="P2" s="70">
        <f>'Revenues and Expenses'!P62</f>
        <v>13889000.853</v>
      </c>
      <c r="Q2" s="70">
        <f>'Revenues and Expenses'!Q62</f>
        <v>18958486.164345</v>
      </c>
      <c r="R2" s="70">
        <f>'Revenues and Expenses'!R62</f>
        <v>25878333.6143309</v>
      </c>
      <c r="S2" s="70">
        <f>'Revenues and Expenses'!S62</f>
        <v>69522102.8316759</v>
      </c>
      <c r="T2" s="81"/>
    </row>
    <row r="3" spans="1:20">
      <c r="A3" s="62" t="s">
        <v>44</v>
      </c>
      <c r="B3" s="16">
        <f>'Revenues and Expenses'!B63</f>
        <v>0</v>
      </c>
      <c r="C3" s="16">
        <f>'Revenues and Expenses'!C63</f>
        <v>0</v>
      </c>
      <c r="D3" s="16">
        <f>'Revenues and Expenses'!D63</f>
        <v>0</v>
      </c>
      <c r="E3" s="16">
        <f>'Revenues and Expenses'!E63</f>
        <v>0</v>
      </c>
      <c r="F3" s="16">
        <f>'Revenues and Expenses'!F63</f>
        <v>0</v>
      </c>
      <c r="G3" s="16">
        <f>'Revenues and Expenses'!G63</f>
        <v>0</v>
      </c>
      <c r="H3" s="16">
        <f>'Revenues and Expenses'!H63</f>
        <v>0</v>
      </c>
      <c r="I3" s="16">
        <f>'Revenues and Expenses'!I63</f>
        <v>0</v>
      </c>
      <c r="J3" s="16">
        <f>'Revenues and Expenses'!J63</f>
        <v>0</v>
      </c>
      <c r="K3" s="16">
        <f>'Revenues and Expenses'!K63</f>
        <v>0</v>
      </c>
      <c r="L3" s="16">
        <f>'Revenues and Expenses'!L63</f>
        <v>0</v>
      </c>
      <c r="M3" s="48">
        <f>'Revenues and Expenses'!M63</f>
        <v>207980</v>
      </c>
      <c r="N3" s="71">
        <f>'Revenues and Expenses'!N63</f>
        <v>207980</v>
      </c>
      <c r="O3" s="71">
        <f>'Revenues and Expenses'!O63</f>
        <v>3406712.4</v>
      </c>
      <c r="P3" s="71">
        <f>'Revenues and Expenses'!P63</f>
        <v>4650162.426</v>
      </c>
      <c r="Q3" s="71">
        <f>'Revenues and Expenses'!Q63</f>
        <v>6347471.71149</v>
      </c>
      <c r="R3" s="71">
        <f>'Revenues and Expenses'!R63</f>
        <v>8664298.88618385</v>
      </c>
      <c r="S3" s="71">
        <f>'Revenues and Expenses'!S63</f>
        <v>23276625.4236738</v>
      </c>
      <c r="T3" s="82"/>
    </row>
    <row r="4" spans="1:20">
      <c r="A4" s="62" t="s">
        <v>40</v>
      </c>
      <c r="B4" s="16">
        <f>'Revenues and Expenses'!B64</f>
        <v>0</v>
      </c>
      <c r="C4" s="16">
        <f>'Revenues and Expenses'!C64</f>
        <v>0</v>
      </c>
      <c r="D4" s="16">
        <f>'Revenues and Expenses'!D64</f>
        <v>0</v>
      </c>
      <c r="E4" s="16">
        <f>'Revenues and Expenses'!E64</f>
        <v>0</v>
      </c>
      <c r="F4" s="16">
        <f>'Revenues and Expenses'!F64</f>
        <v>0</v>
      </c>
      <c r="G4" s="16">
        <f>'Revenues and Expenses'!G64</f>
        <v>0</v>
      </c>
      <c r="H4" s="16">
        <f>'Revenues and Expenses'!H64</f>
        <v>0</v>
      </c>
      <c r="I4" s="16">
        <f>'Revenues and Expenses'!I64</f>
        <v>0</v>
      </c>
      <c r="J4" s="16">
        <f>'Revenues and Expenses'!J64</f>
        <v>0</v>
      </c>
      <c r="K4" s="16">
        <f>'Revenues and Expenses'!K64</f>
        <v>0</v>
      </c>
      <c r="L4" s="16">
        <f>'Revenues and Expenses'!L64</f>
        <v>0</v>
      </c>
      <c r="M4" s="48">
        <f>'Revenues and Expenses'!M64</f>
        <v>413210</v>
      </c>
      <c r="N4" s="71">
        <f>'Revenues and Expenses'!N64</f>
        <v>413210</v>
      </c>
      <c r="O4" s="71">
        <f>'Revenues and Expenses'!O64</f>
        <v>6768379.8</v>
      </c>
      <c r="P4" s="71">
        <f>'Revenues and Expenses'!P64</f>
        <v>9238838.427</v>
      </c>
      <c r="Q4" s="71">
        <f>'Revenues and Expenses'!Q64</f>
        <v>12611014.452855</v>
      </c>
      <c r="R4" s="71">
        <f>'Revenues and Expenses'!R64</f>
        <v>17214034.7281471</v>
      </c>
      <c r="S4" s="71">
        <f>'Revenues and Expenses'!S64</f>
        <v>46245477.4080021</v>
      </c>
      <c r="T4" s="83">
        <f>S4/S2</f>
        <v>0.665191004362594</v>
      </c>
    </row>
    <row r="5" spans="1:20">
      <c r="A5" s="62" t="s">
        <v>10</v>
      </c>
      <c r="B5" s="16">
        <f>Assumptions!$B$8</f>
        <v>29166</v>
      </c>
      <c r="C5" s="16">
        <f>Assumptions!$B$8</f>
        <v>29166</v>
      </c>
      <c r="D5" s="16">
        <f>Assumptions!$B$8</f>
        <v>29166</v>
      </c>
      <c r="E5" s="16">
        <f>Assumptions!$B$8</f>
        <v>29166</v>
      </c>
      <c r="F5" s="16">
        <f>Assumptions!$B$8</f>
        <v>29166</v>
      </c>
      <c r="G5" s="16">
        <f>Assumptions!$B$8</f>
        <v>29166</v>
      </c>
      <c r="H5" s="16">
        <f>Assumptions!$B$8</f>
        <v>29166</v>
      </c>
      <c r="I5" s="16">
        <f>Assumptions!$B$8</f>
        <v>29166</v>
      </c>
      <c r="J5" s="16">
        <f>Assumptions!$B$8</f>
        <v>29166</v>
      </c>
      <c r="K5" s="16">
        <f>Assumptions!$B$8</f>
        <v>29166</v>
      </c>
      <c r="L5" s="16">
        <f>Assumptions!$B$8</f>
        <v>29166</v>
      </c>
      <c r="M5" s="48">
        <f>Assumptions!$B$8</f>
        <v>29166</v>
      </c>
      <c r="N5" s="72">
        <f>SUM(B5:M5)</f>
        <v>349992</v>
      </c>
      <c r="O5" s="72">
        <f>M5*12*(1+Assumptions!$B$3)</f>
        <v>367491.6</v>
      </c>
      <c r="P5" s="72">
        <f>O5*(1+Assumptions!$B$3)</f>
        <v>385866.18</v>
      </c>
      <c r="Q5" s="72">
        <f>P5*(1+Assumptions!$B$3)</f>
        <v>405159.489</v>
      </c>
      <c r="R5" s="72">
        <f>Q5*(1+Assumptions!$B$3)</f>
        <v>425417.46345</v>
      </c>
      <c r="S5" s="72">
        <f t="shared" ref="S5:S11" si="0">SUM(N5:R5)</f>
        <v>1933926.73245</v>
      </c>
      <c r="T5" s="82"/>
    </row>
    <row r="6" spans="1:20">
      <c r="A6" s="62" t="s">
        <v>12</v>
      </c>
      <c r="B6" s="16">
        <f>Assumptions!$B$9</f>
        <v>8333</v>
      </c>
      <c r="C6" s="16">
        <f>Assumptions!$B$9</f>
        <v>8333</v>
      </c>
      <c r="D6" s="16">
        <f>Assumptions!$B$9</f>
        <v>8333</v>
      </c>
      <c r="E6" s="16">
        <f>Assumptions!$B$9</f>
        <v>8333</v>
      </c>
      <c r="F6" s="16">
        <f>Assumptions!$B$9</f>
        <v>8333</v>
      </c>
      <c r="G6" s="16">
        <f>Assumptions!$B$9</f>
        <v>8333</v>
      </c>
      <c r="H6" s="16">
        <f>Assumptions!$B$9</f>
        <v>8333</v>
      </c>
      <c r="I6" s="16">
        <f>Assumptions!$B$9</f>
        <v>8333</v>
      </c>
      <c r="J6" s="16">
        <f>Assumptions!$B$9</f>
        <v>8333</v>
      </c>
      <c r="K6" s="16">
        <f>Assumptions!$B$9</f>
        <v>8333</v>
      </c>
      <c r="L6" s="16">
        <f>Assumptions!$B$9</f>
        <v>8333</v>
      </c>
      <c r="M6" s="48">
        <f>Assumptions!$B$9</f>
        <v>8333</v>
      </c>
      <c r="N6" s="72">
        <f t="shared" ref="N6:N14" si="1">SUM(B6:M6)</f>
        <v>99996</v>
      </c>
      <c r="O6" s="72">
        <f>M6*12*(1+Assumptions!$B$3)</f>
        <v>104995.8</v>
      </c>
      <c r="P6" s="72">
        <f>O6*(1+Assumptions!$B$3)</f>
        <v>110245.59</v>
      </c>
      <c r="Q6" s="72">
        <f>P6*(1+Assumptions!$B$3)</f>
        <v>115757.8695</v>
      </c>
      <c r="R6" s="72">
        <f>Q6*(1+Assumptions!$B$3)</f>
        <v>121545.762975</v>
      </c>
      <c r="S6" s="72">
        <f t="shared" si="0"/>
        <v>552541.022475</v>
      </c>
      <c r="T6" s="82"/>
    </row>
    <row r="7" spans="1:20">
      <c r="A7" s="62" t="s">
        <v>13</v>
      </c>
      <c r="B7" s="16">
        <f>Assumptions!$B$10</f>
        <v>0</v>
      </c>
      <c r="C7" s="16">
        <f>Assumptions!$B$10</f>
        <v>0</v>
      </c>
      <c r="D7" s="16">
        <f>Assumptions!$B$10</f>
        <v>0</v>
      </c>
      <c r="E7" s="16">
        <f>Assumptions!$B$10</f>
        <v>0</v>
      </c>
      <c r="F7" s="16">
        <f>Assumptions!$B$10</f>
        <v>0</v>
      </c>
      <c r="G7" s="16">
        <f>Assumptions!$B$10</f>
        <v>0</v>
      </c>
      <c r="H7" s="16">
        <f>Assumptions!$B$10</f>
        <v>0</v>
      </c>
      <c r="I7" s="16">
        <f>Assumptions!$B$10</f>
        <v>0</v>
      </c>
      <c r="J7" s="16">
        <f>Assumptions!$B$10</f>
        <v>0</v>
      </c>
      <c r="K7" s="16">
        <f>Assumptions!$B$10</f>
        <v>0</v>
      </c>
      <c r="L7" s="16">
        <f>Assumptions!$B$10</f>
        <v>0</v>
      </c>
      <c r="M7" s="16">
        <f>Assumptions!$B$10</f>
        <v>0</v>
      </c>
      <c r="N7" s="72">
        <f t="shared" si="1"/>
        <v>0</v>
      </c>
      <c r="O7" s="72">
        <f>M7*12*(1+Assumptions!$B$3)</f>
        <v>0</v>
      </c>
      <c r="P7" s="72">
        <f>O7*(1+Assumptions!$B$3)</f>
        <v>0</v>
      </c>
      <c r="Q7" s="72">
        <f>P7*(1+Assumptions!$B$3)</f>
        <v>0</v>
      </c>
      <c r="R7" s="72">
        <f>Q7*(1+Assumptions!$B$3)</f>
        <v>0</v>
      </c>
      <c r="S7" s="72">
        <f t="shared" si="0"/>
        <v>0</v>
      </c>
      <c r="T7" s="82"/>
    </row>
    <row r="8" spans="1:20">
      <c r="A8" s="62" t="s">
        <v>14</v>
      </c>
      <c r="B8" s="16">
        <f>Assumptions!$B$11</f>
        <v>8333</v>
      </c>
      <c r="C8" s="16">
        <f>Assumptions!$B$11</f>
        <v>8333</v>
      </c>
      <c r="D8" s="16">
        <f>Assumptions!$B$11</f>
        <v>8333</v>
      </c>
      <c r="E8" s="16">
        <f>Assumptions!$B$11</f>
        <v>8333</v>
      </c>
      <c r="F8" s="16">
        <f>Assumptions!$B$11</f>
        <v>8333</v>
      </c>
      <c r="G8" s="16">
        <f>Assumptions!$B$11</f>
        <v>8333</v>
      </c>
      <c r="H8" s="16">
        <f>Assumptions!$B$11</f>
        <v>8333</v>
      </c>
      <c r="I8" s="16">
        <f>Assumptions!$B$11</f>
        <v>8333</v>
      </c>
      <c r="J8" s="16">
        <f>Assumptions!$B$11</f>
        <v>8333</v>
      </c>
      <c r="K8" s="16">
        <f>Assumptions!$B$11</f>
        <v>8333</v>
      </c>
      <c r="L8" s="16">
        <f>Assumptions!$B$11</f>
        <v>8333</v>
      </c>
      <c r="M8" s="16">
        <f>Assumptions!$B$11</f>
        <v>8333</v>
      </c>
      <c r="N8" s="72">
        <f t="shared" si="1"/>
        <v>99996</v>
      </c>
      <c r="O8" s="72">
        <f>M8*12*(1+Assumptions!$B$3)</f>
        <v>104995.8</v>
      </c>
      <c r="P8" s="72">
        <f>O8*(1+Assumptions!$B$3)</f>
        <v>110245.59</v>
      </c>
      <c r="Q8" s="72">
        <f>P8*(1+Assumptions!$B$3)</f>
        <v>115757.8695</v>
      </c>
      <c r="R8" s="72">
        <f>Q8*(1+Assumptions!$B$3)</f>
        <v>121545.762975</v>
      </c>
      <c r="S8" s="72">
        <f t="shared" si="0"/>
        <v>552541.022475</v>
      </c>
      <c r="T8" s="82"/>
    </row>
    <row r="9" spans="1:20">
      <c r="A9" s="62" t="s">
        <v>45</v>
      </c>
      <c r="B9" s="16">
        <f>Assumptions!$B$13/12/Assumptions!$B$5</f>
        <v>2500</v>
      </c>
      <c r="C9" s="16">
        <f>Assumptions!$B$13/12/Assumptions!$B$5</f>
        <v>2500</v>
      </c>
      <c r="D9" s="16">
        <f>Assumptions!$B$13/12/Assumptions!$B$5</f>
        <v>2500</v>
      </c>
      <c r="E9" s="16">
        <f>Assumptions!$B$13/12/Assumptions!$B$5</f>
        <v>2500</v>
      </c>
      <c r="F9" s="16">
        <f>Assumptions!$B$13/12/Assumptions!$B$5</f>
        <v>2500</v>
      </c>
      <c r="G9" s="16">
        <f>Assumptions!$B$13/12/Assumptions!$B$5</f>
        <v>2500</v>
      </c>
      <c r="H9" s="16">
        <f>Assumptions!$B$13/12/Assumptions!$B$5</f>
        <v>2500</v>
      </c>
      <c r="I9" s="16">
        <f>Assumptions!$B$13/12/Assumptions!$B$5</f>
        <v>2500</v>
      </c>
      <c r="J9" s="16">
        <f>Assumptions!$B$13/12/Assumptions!$B$5</f>
        <v>2500</v>
      </c>
      <c r="K9" s="16">
        <f>Assumptions!$B$13/12/Assumptions!$B$5</f>
        <v>2500</v>
      </c>
      <c r="L9" s="16">
        <f>Assumptions!$B$13/12/Assumptions!$B$5</f>
        <v>2500</v>
      </c>
      <c r="M9" s="16">
        <f>Assumptions!$B$13/12/Assumptions!$B$5</f>
        <v>2500</v>
      </c>
      <c r="N9" s="72">
        <f t="shared" si="1"/>
        <v>30000</v>
      </c>
      <c r="O9" s="71">
        <f>Assumptions!$B$13/5</f>
        <v>30000</v>
      </c>
      <c r="P9" s="71">
        <f>Assumptions!$B$13/5</f>
        <v>30000</v>
      </c>
      <c r="Q9" s="71">
        <f>Assumptions!$B$13/5</f>
        <v>30000</v>
      </c>
      <c r="R9" s="71">
        <f>Assumptions!$B$13/5</f>
        <v>30000</v>
      </c>
      <c r="S9" s="72">
        <f t="shared" si="0"/>
        <v>150000</v>
      </c>
      <c r="T9" s="82"/>
    </row>
    <row r="10" spans="1:20">
      <c r="A10" s="62" t="s">
        <v>15</v>
      </c>
      <c r="B10" s="16">
        <f>Assumptions!$B$12</f>
        <v>0</v>
      </c>
      <c r="C10" s="16">
        <f>Assumptions!$B$12</f>
        <v>0</v>
      </c>
      <c r="D10" s="16">
        <f>Assumptions!$B$12</f>
        <v>0</v>
      </c>
      <c r="E10" s="16">
        <f>Assumptions!$B$12</f>
        <v>0</v>
      </c>
      <c r="F10" s="16">
        <f>Assumptions!$B$12</f>
        <v>0</v>
      </c>
      <c r="G10" s="16">
        <f>Assumptions!$B$12</f>
        <v>0</v>
      </c>
      <c r="H10" s="16">
        <f>Assumptions!$B$12</f>
        <v>0</v>
      </c>
      <c r="I10" s="16">
        <f>Assumptions!$B$12</f>
        <v>0</v>
      </c>
      <c r="J10" s="16">
        <f>Assumptions!$B$12</f>
        <v>0</v>
      </c>
      <c r="K10" s="16">
        <f>Assumptions!$B$12</f>
        <v>0</v>
      </c>
      <c r="L10" s="16">
        <f>Assumptions!$B$12</f>
        <v>0</v>
      </c>
      <c r="M10" s="16">
        <f>Assumptions!$B$12</f>
        <v>0</v>
      </c>
      <c r="N10" s="72">
        <f t="shared" si="1"/>
        <v>0</v>
      </c>
      <c r="O10" s="72">
        <f>M10*12*(1+Assumptions!$B$3)</f>
        <v>0</v>
      </c>
      <c r="P10" s="72">
        <f>O10*(1+Assumptions!$B$3)</f>
        <v>0</v>
      </c>
      <c r="Q10" s="72">
        <f>P10*(1+Assumptions!$B$3)</f>
        <v>0</v>
      </c>
      <c r="R10" s="72">
        <f>Q10*(1+Assumptions!$B$3)</f>
        <v>0</v>
      </c>
      <c r="S10" s="72">
        <f t="shared" si="0"/>
        <v>0</v>
      </c>
      <c r="T10" s="82"/>
    </row>
    <row r="11" spans="1:20">
      <c r="A11" s="62" t="s">
        <v>46</v>
      </c>
      <c r="B11" s="16">
        <f>SUM(B5:B10)</f>
        <v>48332</v>
      </c>
      <c r="C11" s="16">
        <f t="shared" ref="C11:R11" si="2">SUM(C5:C10)</f>
        <v>48332</v>
      </c>
      <c r="D11" s="16">
        <f t="shared" si="2"/>
        <v>48332</v>
      </c>
      <c r="E11" s="16">
        <f t="shared" si="2"/>
        <v>48332</v>
      </c>
      <c r="F11" s="16">
        <f t="shared" si="2"/>
        <v>48332</v>
      </c>
      <c r="G11" s="16">
        <f t="shared" si="2"/>
        <v>48332</v>
      </c>
      <c r="H11" s="16">
        <f t="shared" si="2"/>
        <v>48332</v>
      </c>
      <c r="I11" s="16">
        <f t="shared" si="2"/>
        <v>48332</v>
      </c>
      <c r="J11" s="16">
        <f t="shared" si="2"/>
        <v>48332</v>
      </c>
      <c r="K11" s="16">
        <f t="shared" si="2"/>
        <v>48332</v>
      </c>
      <c r="L11" s="16">
        <f t="shared" si="2"/>
        <v>48332</v>
      </c>
      <c r="M11" s="16">
        <f t="shared" si="2"/>
        <v>48332</v>
      </c>
      <c r="N11" s="72">
        <f t="shared" si="1"/>
        <v>579984</v>
      </c>
      <c r="O11" s="18">
        <f t="shared" si="2"/>
        <v>607483.2</v>
      </c>
      <c r="P11" s="71">
        <f t="shared" si="2"/>
        <v>636357.36</v>
      </c>
      <c r="Q11" s="71">
        <f t="shared" si="2"/>
        <v>666675.228</v>
      </c>
      <c r="R11" s="71">
        <f t="shared" si="2"/>
        <v>698508.9894</v>
      </c>
      <c r="S11" s="72">
        <f t="shared" si="0"/>
        <v>3189008.7774</v>
      </c>
      <c r="T11" s="82"/>
    </row>
    <row r="12" spans="1:20">
      <c r="A12" s="62" t="s">
        <v>47</v>
      </c>
      <c r="B12" s="16">
        <f>B4-B11</f>
        <v>-48332</v>
      </c>
      <c r="C12" s="16">
        <f t="shared" ref="C12:S12" si="3">C4-C11</f>
        <v>-48332</v>
      </c>
      <c r="D12" s="16">
        <f t="shared" si="3"/>
        <v>-48332</v>
      </c>
      <c r="E12" s="16">
        <f t="shared" si="3"/>
        <v>-48332</v>
      </c>
      <c r="F12" s="16">
        <f t="shared" si="3"/>
        <v>-48332</v>
      </c>
      <c r="G12" s="16">
        <f t="shared" si="3"/>
        <v>-48332</v>
      </c>
      <c r="H12" s="16">
        <f t="shared" si="3"/>
        <v>-48332</v>
      </c>
      <c r="I12" s="16">
        <f t="shared" si="3"/>
        <v>-48332</v>
      </c>
      <c r="J12" s="16">
        <f t="shared" si="3"/>
        <v>-48332</v>
      </c>
      <c r="K12" s="16">
        <f t="shared" si="3"/>
        <v>-48332</v>
      </c>
      <c r="L12" s="16">
        <f t="shared" si="3"/>
        <v>-48332</v>
      </c>
      <c r="M12" s="16">
        <f t="shared" si="3"/>
        <v>364878</v>
      </c>
      <c r="N12" s="72">
        <f t="shared" si="1"/>
        <v>-166774</v>
      </c>
      <c r="O12" s="18">
        <f t="shared" si="3"/>
        <v>6160896.6</v>
      </c>
      <c r="P12" s="71">
        <f t="shared" si="3"/>
        <v>8602481.067</v>
      </c>
      <c r="Q12" s="71">
        <f t="shared" si="3"/>
        <v>11944339.224855</v>
      </c>
      <c r="R12" s="71">
        <f t="shared" si="3"/>
        <v>16515525.7387471</v>
      </c>
      <c r="S12" s="71">
        <f t="shared" si="3"/>
        <v>43056468.6306021</v>
      </c>
      <c r="T12" s="82"/>
    </row>
    <row r="13" spans="1:20">
      <c r="A13" s="62" t="s">
        <v>48</v>
      </c>
      <c r="B13" s="16">
        <f>B12*Assumptions!$B$6</f>
        <v>-8699.76</v>
      </c>
      <c r="C13" s="16">
        <f>C12*Assumptions!$B$6</f>
        <v>-8699.76</v>
      </c>
      <c r="D13" s="16">
        <f>D12*Assumptions!$B$6</f>
        <v>-8699.76</v>
      </c>
      <c r="E13" s="16">
        <f>E12*Assumptions!$B$6</f>
        <v>-8699.76</v>
      </c>
      <c r="F13" s="16">
        <f>F12*Assumptions!$B$6</f>
        <v>-8699.76</v>
      </c>
      <c r="G13" s="16">
        <f>G12*Assumptions!$B$6</f>
        <v>-8699.76</v>
      </c>
      <c r="H13" s="16">
        <f>H12*Assumptions!$B$6</f>
        <v>-8699.76</v>
      </c>
      <c r="I13" s="16">
        <f>I12*Assumptions!$B$6</f>
        <v>-8699.76</v>
      </c>
      <c r="J13" s="16">
        <f>J12*Assumptions!$B$6</f>
        <v>-8699.76</v>
      </c>
      <c r="K13" s="16">
        <f>K12*Assumptions!$B$6</f>
        <v>-8699.76</v>
      </c>
      <c r="L13" s="16">
        <f>L12*Assumptions!$B$6</f>
        <v>-8699.76</v>
      </c>
      <c r="M13" s="18">
        <f>M12*Assumptions!$B$6</f>
        <v>65678.04</v>
      </c>
      <c r="N13" s="72">
        <f t="shared" si="1"/>
        <v>-30019.32</v>
      </c>
      <c r="O13" s="18">
        <f>O12*Assumptions!$B$6</f>
        <v>1108961.388</v>
      </c>
      <c r="P13" s="71">
        <f>P12*Assumptions!$B$6</f>
        <v>1548446.59206</v>
      </c>
      <c r="Q13" s="71">
        <f>Q12*Assumptions!$B$6</f>
        <v>2149981.0604739</v>
      </c>
      <c r="R13" s="71">
        <f>R12*Assumptions!$B$6</f>
        <v>2972794.63297447</v>
      </c>
      <c r="S13" s="72">
        <f>SUM(N13:R13)</f>
        <v>7750164.35350837</v>
      </c>
      <c r="T13" s="82"/>
    </row>
    <row r="14" spans="1:20">
      <c r="A14" s="62" t="s">
        <v>49</v>
      </c>
      <c r="B14" s="35">
        <f>B12-B13</f>
        <v>-39632.24</v>
      </c>
      <c r="C14" s="35">
        <f t="shared" ref="C14:S14" si="4">C12-C13</f>
        <v>-39632.24</v>
      </c>
      <c r="D14" s="35">
        <f t="shared" si="4"/>
        <v>-39632.24</v>
      </c>
      <c r="E14" s="35">
        <f t="shared" si="4"/>
        <v>-39632.24</v>
      </c>
      <c r="F14" s="35">
        <f t="shared" si="4"/>
        <v>-39632.24</v>
      </c>
      <c r="G14" s="35">
        <f t="shared" si="4"/>
        <v>-39632.24</v>
      </c>
      <c r="H14" s="35">
        <f t="shared" si="4"/>
        <v>-39632.24</v>
      </c>
      <c r="I14" s="35">
        <f t="shared" si="4"/>
        <v>-39632.24</v>
      </c>
      <c r="J14" s="35">
        <f t="shared" si="4"/>
        <v>-39632.24</v>
      </c>
      <c r="K14" s="35">
        <f t="shared" si="4"/>
        <v>-39632.24</v>
      </c>
      <c r="L14" s="35">
        <f t="shared" si="4"/>
        <v>-39632.24</v>
      </c>
      <c r="M14" s="49">
        <f t="shared" si="4"/>
        <v>299199.96</v>
      </c>
      <c r="N14" s="73">
        <f t="shared" si="1"/>
        <v>-136754.68</v>
      </c>
      <c r="O14" s="74">
        <f t="shared" si="4"/>
        <v>5051935.212</v>
      </c>
      <c r="P14" s="74">
        <f t="shared" si="4"/>
        <v>7054034.47494</v>
      </c>
      <c r="Q14" s="74">
        <f t="shared" si="4"/>
        <v>9794358.1643811</v>
      </c>
      <c r="R14" s="74">
        <f t="shared" si="4"/>
        <v>13542731.1057726</v>
      </c>
      <c r="S14" s="74">
        <f t="shared" si="4"/>
        <v>35306304.2770937</v>
      </c>
      <c r="T14" s="84">
        <f>S14/S2</f>
        <v>0.507842870670582</v>
      </c>
    </row>
    <row r="15" spans="1:20">
      <c r="A15" s="63" t="s">
        <v>50</v>
      </c>
      <c r="B15" s="64">
        <f>B14</f>
        <v>-39632.24</v>
      </c>
      <c r="C15" s="64">
        <f>B15+C14</f>
        <v>-79264.48</v>
      </c>
      <c r="D15" s="64">
        <f>C15+D14</f>
        <v>-118896.72</v>
      </c>
      <c r="E15" s="64">
        <f t="shared" ref="E15:M15" si="5">D15+E14</f>
        <v>-158528.96</v>
      </c>
      <c r="F15" s="64">
        <f t="shared" si="5"/>
        <v>-198161.2</v>
      </c>
      <c r="G15" s="64">
        <f t="shared" si="5"/>
        <v>-237793.44</v>
      </c>
      <c r="H15" s="64">
        <f t="shared" si="5"/>
        <v>-277425.68</v>
      </c>
      <c r="I15" s="64">
        <f t="shared" si="5"/>
        <v>-317057.92</v>
      </c>
      <c r="J15" s="64">
        <f t="shared" si="5"/>
        <v>-356690.16</v>
      </c>
      <c r="K15" s="64">
        <f t="shared" si="5"/>
        <v>-396322.4</v>
      </c>
      <c r="L15" s="64">
        <f t="shared" si="5"/>
        <v>-435954.64</v>
      </c>
      <c r="M15" s="75">
        <f t="shared" si="5"/>
        <v>-136754.68</v>
      </c>
      <c r="N15" s="76">
        <f>M15</f>
        <v>-136754.68</v>
      </c>
      <c r="O15" s="77">
        <f>N15+O14</f>
        <v>4915180.532</v>
      </c>
      <c r="P15" s="77">
        <f t="shared" ref="P15:R15" si="6">O15+P14</f>
        <v>11969215.00694</v>
      </c>
      <c r="Q15" s="77">
        <f t="shared" si="6"/>
        <v>21763573.1713211</v>
      </c>
      <c r="R15" s="77">
        <f t="shared" si="6"/>
        <v>35306304.2770937</v>
      </c>
      <c r="S15" s="74"/>
      <c r="T15" s="85"/>
    </row>
    <row r="16" spans="1:20">
      <c r="A16" s="65" t="s">
        <v>51</v>
      </c>
      <c r="N16" s="78">
        <f>N14/(1+Assumptions!$B$4)</f>
        <v>-115893.796610169</v>
      </c>
      <c r="O16" s="78">
        <f>O14/((1+Assumptions!$B$4)*(1+Assumptions!$B$4))</f>
        <v>3628221.20942258</v>
      </c>
      <c r="P16" s="78">
        <f>P14/((1+Assumptions!$B$4)*(1+Assumptions!$B$4)*(1+Assumptions!$B$4))</f>
        <v>4293303.15839253</v>
      </c>
      <c r="Q16" s="78">
        <f>Q14/((1+Assumptions!$B$4)*(1+Assumptions!$B$4)*(1+Assumptions!$B$4)*(1+Assumptions!$B$4))</f>
        <v>5051820.98044136</v>
      </c>
      <c r="R16" s="78">
        <f>R14/((1+Assumptions!$B$4)*(1+Assumptions!$B$4)*(1+Assumptions!$B$4)*(1+Assumptions!$B$4)*(1+Assumptions!$B$4))</f>
        <v>5919652.57926412</v>
      </c>
      <c r="S16" s="74">
        <f>SUM(N16:R16)</f>
        <v>18777104.1309104</v>
      </c>
      <c r="T16" s="86">
        <f>S16/S2</f>
        <v>0.270088264970534</v>
      </c>
    </row>
    <row r="17" ht="15.9"/>
    <row r="18" ht="15.15" spans="1:19">
      <c r="A18" s="2" t="s">
        <v>52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79">
        <f>N16/N2</f>
        <v>-0.186567389381943</v>
      </c>
      <c r="O18" s="79">
        <f t="shared" ref="O18:S18" si="7">O16/O2</f>
        <v>0.356578705932766</v>
      </c>
      <c r="P18" s="79">
        <f t="shared" si="7"/>
        <v>0.309115335496951</v>
      </c>
      <c r="Q18" s="79">
        <f t="shared" si="7"/>
        <v>0.266467529983605</v>
      </c>
      <c r="R18" s="79">
        <f t="shared" si="7"/>
        <v>0.228749372640668</v>
      </c>
      <c r="S18" s="87">
        <f t="shared" si="7"/>
        <v>0.270088264970534</v>
      </c>
    </row>
    <row r="19" spans="1:19">
      <c r="A19" s="67" t="s">
        <v>53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80">
        <f>N16/'Cash Flow Statement'!$B$13</f>
        <v>-0.165562566585956</v>
      </c>
      <c r="O19" s="80">
        <f>O16/'Cash Flow Statement'!$B$13</f>
        <v>5.18317315631797</v>
      </c>
      <c r="P19" s="80">
        <f>P16/'Cash Flow Statement'!$B$13</f>
        <v>6.13329022627505</v>
      </c>
      <c r="Q19" s="80">
        <f>Q16/'Cash Flow Statement'!$B$13</f>
        <v>7.21688711491623</v>
      </c>
      <c r="R19" s="80">
        <f>R16/'Cash Flow Statement'!$B$13</f>
        <v>8.45664654180588</v>
      </c>
      <c r="S19" s="88">
        <f>S16/'Cash Flow Statement'!$B$13</f>
        <v>26.8244344727292</v>
      </c>
    </row>
    <row r="20" spans="1:19">
      <c r="A20" s="5" t="s">
        <v>54</v>
      </c>
      <c r="B20" s="16" t="e">
        <f>B11/(B4/B2)</f>
        <v>#DIV/0!</v>
      </c>
      <c r="C20" s="16" t="e">
        <f t="shared" ref="C20:S20" si="8">C11/(C4/C2)</f>
        <v>#DIV/0!</v>
      </c>
      <c r="D20" s="16" t="e">
        <f t="shared" si="8"/>
        <v>#DIV/0!</v>
      </c>
      <c r="E20" s="16" t="e">
        <f t="shared" si="8"/>
        <v>#DIV/0!</v>
      </c>
      <c r="F20" s="16" t="e">
        <f t="shared" si="8"/>
        <v>#DIV/0!</v>
      </c>
      <c r="G20" s="16" t="e">
        <f t="shared" si="8"/>
        <v>#DIV/0!</v>
      </c>
      <c r="H20" s="16" t="e">
        <f t="shared" si="8"/>
        <v>#DIV/0!</v>
      </c>
      <c r="I20" s="16" t="e">
        <f t="shared" si="8"/>
        <v>#DIV/0!</v>
      </c>
      <c r="J20" s="16" t="e">
        <f t="shared" si="8"/>
        <v>#DIV/0!</v>
      </c>
      <c r="K20" s="16" t="e">
        <f t="shared" si="8"/>
        <v>#DIV/0!</v>
      </c>
      <c r="L20" s="16" t="e">
        <f t="shared" si="8"/>
        <v>#DIV/0!</v>
      </c>
      <c r="M20" s="16">
        <f t="shared" si="8"/>
        <v>72658.8298443891</v>
      </c>
      <c r="N20" s="16">
        <f t="shared" si="8"/>
        <v>871905.958132669</v>
      </c>
      <c r="O20" s="16">
        <f t="shared" si="8"/>
        <v>913246.264630575</v>
      </c>
      <c r="P20" s="16">
        <f t="shared" si="8"/>
        <v>956653.586453377</v>
      </c>
      <c r="Q20" s="16">
        <f t="shared" si="8"/>
        <v>1002231.27436732</v>
      </c>
      <c r="R20" s="16">
        <f t="shared" si="8"/>
        <v>1050087.84667696</v>
      </c>
      <c r="S20" s="18">
        <f t="shared" si="8"/>
        <v>4794124.9302609</v>
      </c>
    </row>
    <row r="21" spans="1:19">
      <c r="A21" s="5" t="s">
        <v>55</v>
      </c>
      <c r="B21" s="8">
        <v>20</v>
      </c>
      <c r="C21" s="8" t="s">
        <v>56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51"/>
    </row>
    <row r="22" ht="15.15" spans="1:19">
      <c r="A22" s="11" t="s">
        <v>57</v>
      </c>
      <c r="B22" s="28">
        <v>700000</v>
      </c>
      <c r="C22" s="29" t="s">
        <v>2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89"/>
    </row>
    <row r="23" ht="15.15"/>
  </sheetData>
  <pageMargins left="0.7" right="0.7" top="0.75" bottom="0.75" header="0.3" footer="0.3"/>
  <headerFooter/>
  <ignoredErrors>
    <ignoredError sqref="N11:N15 O9:R9 S1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workbookViewId="0">
      <selection activeCell="P3" sqref="P3"/>
    </sheetView>
  </sheetViews>
  <sheetFormatPr defaultColWidth="9" defaultRowHeight="14.4"/>
  <cols>
    <col min="1" max="1" width="26.8888888888889" customWidth="1"/>
    <col min="2" max="2" width="9" outlineLevel="1"/>
    <col min="3" max="13" width="8.88888888888889" outlineLevel="1"/>
    <col min="14" max="17" width="10.3333333333333" customWidth="1"/>
  </cols>
  <sheetData>
    <row r="1" s="1" customFormat="1" ht="15.9" spans="1:17">
      <c r="A1" s="2" t="s">
        <v>41</v>
      </c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4">
        <v>12</v>
      </c>
      <c r="N1" s="43" t="s">
        <v>58</v>
      </c>
      <c r="O1" s="44" t="s">
        <v>59</v>
      </c>
      <c r="P1" s="44" t="s">
        <v>60</v>
      </c>
      <c r="Q1" s="57" t="s">
        <v>61</v>
      </c>
    </row>
    <row r="2" ht="14.55" spans="1:17">
      <c r="A2" s="34" t="s">
        <v>62</v>
      </c>
      <c r="B2" s="35">
        <f t="shared" ref="B2:Q2" si="0">B3-SUM(B4:B10)</f>
        <v>-45832</v>
      </c>
      <c r="C2" s="35">
        <f t="shared" si="0"/>
        <v>-45832</v>
      </c>
      <c r="D2" s="35">
        <f t="shared" si="0"/>
        <v>-45832</v>
      </c>
      <c r="E2" s="35">
        <f t="shared" si="0"/>
        <v>-45832</v>
      </c>
      <c r="F2" s="35">
        <f t="shared" si="0"/>
        <v>-45832</v>
      </c>
      <c r="G2" s="35">
        <f t="shared" si="0"/>
        <v>-45832</v>
      </c>
      <c r="H2" s="35">
        <f t="shared" si="0"/>
        <v>-45832</v>
      </c>
      <c r="I2" s="35">
        <f t="shared" si="0"/>
        <v>-45832</v>
      </c>
      <c r="J2" s="35">
        <f t="shared" si="0"/>
        <v>-45832</v>
      </c>
      <c r="K2" s="35">
        <f t="shared" si="0"/>
        <v>-45832</v>
      </c>
      <c r="L2" s="35">
        <f t="shared" si="0"/>
        <v>-45832</v>
      </c>
      <c r="M2" s="35">
        <f t="shared" si="0"/>
        <v>-223792.68</v>
      </c>
      <c r="N2" s="45">
        <f t="shared" si="0"/>
        <v>5081935.212</v>
      </c>
      <c r="O2" s="46">
        <f t="shared" si="0"/>
        <v>7084034.47494</v>
      </c>
      <c r="P2" s="46">
        <f t="shared" si="0"/>
        <v>9824358.1643811</v>
      </c>
      <c r="Q2" s="58">
        <f t="shared" si="0"/>
        <v>13572731.1057726</v>
      </c>
    </row>
    <row r="3" spans="1:17">
      <c r="A3" s="15" t="s">
        <v>63</v>
      </c>
      <c r="B3" s="16">
        <v>0</v>
      </c>
      <c r="C3" s="16">
        <f>'Profit and Loss (P&amp;L) Statement'!B2</f>
        <v>0</v>
      </c>
      <c r="D3" s="16">
        <f>'Profit and Loss (P&amp;L) Statement'!C2</f>
        <v>0</v>
      </c>
      <c r="E3" s="16">
        <f>'Profit and Loss (P&amp;L) Statement'!D2</f>
        <v>0</v>
      </c>
      <c r="F3" s="16">
        <f>'Profit and Loss (P&amp;L) Statement'!E2</f>
        <v>0</v>
      </c>
      <c r="G3" s="16">
        <f>'Profit and Loss (P&amp;L) Statement'!F2</f>
        <v>0</v>
      </c>
      <c r="H3" s="16">
        <f>'Profit and Loss (P&amp;L) Statement'!G2</f>
        <v>0</v>
      </c>
      <c r="I3" s="16">
        <f>'Profit and Loss (P&amp;L) Statement'!H2</f>
        <v>0</v>
      </c>
      <c r="J3" s="16">
        <f>'Profit and Loss (P&amp;L) Statement'!I2</f>
        <v>0</v>
      </c>
      <c r="K3" s="16">
        <f>'Profit and Loss (P&amp;L) Statement'!J2</f>
        <v>0</v>
      </c>
      <c r="L3" s="16">
        <f>'Profit and Loss (P&amp;L) Statement'!K2</f>
        <v>0</v>
      </c>
      <c r="M3" s="16">
        <f>'Profit and Loss (P&amp;L) Statement'!L2</f>
        <v>0</v>
      </c>
      <c r="N3" s="47">
        <f>'Profit and Loss (P&amp;L) Statement'!O2</f>
        <v>10175092.2</v>
      </c>
      <c r="O3" s="47">
        <f>'Profit and Loss (P&amp;L) Statement'!P2</f>
        <v>13889000.853</v>
      </c>
      <c r="P3" s="47">
        <f>'Profit and Loss (P&amp;L) Statement'!Q2</f>
        <v>18958486.164345</v>
      </c>
      <c r="Q3" s="18">
        <f>'Profit and Loss (P&amp;L) Statement'!R2</f>
        <v>25878333.6143309</v>
      </c>
    </row>
    <row r="4" spans="1:17">
      <c r="A4" s="15" t="s">
        <v>64</v>
      </c>
      <c r="B4" s="16">
        <f>'Profit and Loss (P&amp;L) Statement'!B3</f>
        <v>0</v>
      </c>
      <c r="C4" s="16">
        <f>'Profit and Loss (P&amp;L) Statement'!C3</f>
        <v>0</v>
      </c>
      <c r="D4" s="16">
        <f>'Profit and Loss (P&amp;L) Statement'!D3</f>
        <v>0</v>
      </c>
      <c r="E4" s="16">
        <f>'Profit and Loss (P&amp;L) Statement'!E3</f>
        <v>0</v>
      </c>
      <c r="F4" s="16">
        <f>'Profit and Loss (P&amp;L) Statement'!F3</f>
        <v>0</v>
      </c>
      <c r="G4" s="16">
        <f>'Profit and Loss (P&amp;L) Statement'!G3</f>
        <v>0</v>
      </c>
      <c r="H4" s="16">
        <f>'Profit and Loss (P&amp;L) Statement'!H3</f>
        <v>0</v>
      </c>
      <c r="I4" s="16">
        <f>'Profit and Loss (P&amp;L) Statement'!I3</f>
        <v>0</v>
      </c>
      <c r="J4" s="16">
        <f>'Profit and Loss (P&amp;L) Statement'!J3</f>
        <v>0</v>
      </c>
      <c r="K4" s="16">
        <f>'Profit and Loss (P&amp;L) Statement'!K3</f>
        <v>0</v>
      </c>
      <c r="L4" s="16">
        <f>'Profit and Loss (P&amp;L) Statement'!L3</f>
        <v>0</v>
      </c>
      <c r="M4" s="18">
        <f>'Profit and Loss (P&amp;L) Statement'!M3</f>
        <v>207980</v>
      </c>
      <c r="N4" s="47">
        <f>'Profit and Loss (P&amp;L) Statement'!O3</f>
        <v>3406712.4</v>
      </c>
      <c r="O4" s="16">
        <f>'Profit and Loss (P&amp;L) Statement'!P3</f>
        <v>4650162.426</v>
      </c>
      <c r="P4" s="16">
        <f>'Profit and Loss (P&amp;L) Statement'!Q3</f>
        <v>6347471.71149</v>
      </c>
      <c r="Q4" s="18">
        <f>'Profit and Loss (P&amp;L) Statement'!R3</f>
        <v>8664298.88618385</v>
      </c>
    </row>
    <row r="5" spans="1:17">
      <c r="A5" s="15" t="s">
        <v>65</v>
      </c>
      <c r="B5" s="16">
        <f>'Profit and Loss (P&amp;L) Statement'!B5</f>
        <v>29166</v>
      </c>
      <c r="C5" s="16">
        <f>'Profit and Loss (P&amp;L) Statement'!C5</f>
        <v>29166</v>
      </c>
      <c r="D5" s="16">
        <f>'Profit and Loss (P&amp;L) Statement'!D5</f>
        <v>29166</v>
      </c>
      <c r="E5" s="16">
        <f>'Profit and Loss (P&amp;L) Statement'!E5</f>
        <v>29166</v>
      </c>
      <c r="F5" s="16">
        <f>'Profit and Loss (P&amp;L) Statement'!F5</f>
        <v>29166</v>
      </c>
      <c r="G5" s="16">
        <f>'Profit and Loss (P&amp;L) Statement'!G5</f>
        <v>29166</v>
      </c>
      <c r="H5" s="16">
        <f>'Profit and Loss (P&amp;L) Statement'!H5</f>
        <v>29166</v>
      </c>
      <c r="I5" s="16">
        <f>'Profit and Loss (P&amp;L) Statement'!I5</f>
        <v>29166</v>
      </c>
      <c r="J5" s="16">
        <f>'Profit and Loss (P&amp;L) Statement'!J5</f>
        <v>29166</v>
      </c>
      <c r="K5" s="16">
        <f>'Profit and Loss (P&amp;L) Statement'!K5</f>
        <v>29166</v>
      </c>
      <c r="L5" s="16">
        <f>'Profit and Loss (P&amp;L) Statement'!L5</f>
        <v>29166</v>
      </c>
      <c r="M5" s="18">
        <f>'Profit and Loss (P&amp;L) Statement'!M5</f>
        <v>29166</v>
      </c>
      <c r="N5" s="47">
        <f>'Profit and Loss (P&amp;L) Statement'!O5</f>
        <v>367491.6</v>
      </c>
      <c r="O5" s="16">
        <f>'Profit and Loss (P&amp;L) Statement'!P5</f>
        <v>385866.18</v>
      </c>
      <c r="P5" s="16">
        <f>'Profit and Loss (P&amp;L) Statement'!Q5</f>
        <v>405159.489</v>
      </c>
      <c r="Q5" s="18">
        <f>'Profit and Loss (P&amp;L) Statement'!R5</f>
        <v>425417.46345</v>
      </c>
    </row>
    <row r="6" spans="1:17">
      <c r="A6" s="15" t="s">
        <v>12</v>
      </c>
      <c r="B6" s="16">
        <f>'Profit and Loss (P&amp;L) Statement'!B6</f>
        <v>8333</v>
      </c>
      <c r="C6" s="16">
        <f>'Profit and Loss (P&amp;L) Statement'!C6</f>
        <v>8333</v>
      </c>
      <c r="D6" s="16">
        <f>'Profit and Loss (P&amp;L) Statement'!D6</f>
        <v>8333</v>
      </c>
      <c r="E6" s="16">
        <f>'Profit and Loss (P&amp;L) Statement'!E6</f>
        <v>8333</v>
      </c>
      <c r="F6" s="16">
        <f>'Profit and Loss (P&amp;L) Statement'!F6</f>
        <v>8333</v>
      </c>
      <c r="G6" s="16">
        <f>'Profit and Loss (P&amp;L) Statement'!G6</f>
        <v>8333</v>
      </c>
      <c r="H6" s="16">
        <f>'Profit and Loss (P&amp;L) Statement'!H6</f>
        <v>8333</v>
      </c>
      <c r="I6" s="16">
        <f>'Profit and Loss (P&amp;L) Statement'!I6</f>
        <v>8333</v>
      </c>
      <c r="J6" s="16">
        <f>'Profit and Loss (P&amp;L) Statement'!J6</f>
        <v>8333</v>
      </c>
      <c r="K6" s="16">
        <f>'Profit and Loss (P&amp;L) Statement'!K6</f>
        <v>8333</v>
      </c>
      <c r="L6" s="16">
        <f>'Profit and Loss (P&amp;L) Statement'!L6</f>
        <v>8333</v>
      </c>
      <c r="M6" s="18">
        <f>'Profit and Loss (P&amp;L) Statement'!M6</f>
        <v>8333</v>
      </c>
      <c r="N6" s="47">
        <f>'Profit and Loss (P&amp;L) Statement'!O6</f>
        <v>104995.8</v>
      </c>
      <c r="O6" s="16">
        <f>'Profit and Loss (P&amp;L) Statement'!P6</f>
        <v>110245.59</v>
      </c>
      <c r="P6" s="16">
        <f>'Profit and Loss (P&amp;L) Statement'!Q6</f>
        <v>115757.8695</v>
      </c>
      <c r="Q6" s="18">
        <f>'Profit and Loss (P&amp;L) Statement'!R6</f>
        <v>121545.762975</v>
      </c>
    </row>
    <row r="7" spans="1:17">
      <c r="A7" s="15" t="s">
        <v>13</v>
      </c>
      <c r="B7" s="16">
        <f>'Profit and Loss (P&amp;L) Statement'!B7</f>
        <v>0</v>
      </c>
      <c r="C7" s="16">
        <f>'Profit and Loss (P&amp;L) Statement'!C7</f>
        <v>0</v>
      </c>
      <c r="D7" s="16">
        <f>'Profit and Loss (P&amp;L) Statement'!D7</f>
        <v>0</v>
      </c>
      <c r="E7" s="16">
        <f>'Profit and Loss (P&amp;L) Statement'!E7</f>
        <v>0</v>
      </c>
      <c r="F7" s="16">
        <f>'Profit and Loss (P&amp;L) Statement'!F7</f>
        <v>0</v>
      </c>
      <c r="G7" s="16">
        <f>'Profit and Loss (P&amp;L) Statement'!G7</f>
        <v>0</v>
      </c>
      <c r="H7" s="16">
        <f>'Profit and Loss (P&amp;L) Statement'!H7</f>
        <v>0</v>
      </c>
      <c r="I7" s="16">
        <f>'Profit and Loss (P&amp;L) Statement'!I7</f>
        <v>0</v>
      </c>
      <c r="J7" s="16">
        <f>'Profit and Loss (P&amp;L) Statement'!J7</f>
        <v>0</v>
      </c>
      <c r="K7" s="16">
        <f>'Profit and Loss (P&amp;L) Statement'!K7</f>
        <v>0</v>
      </c>
      <c r="L7" s="16">
        <f>'Profit and Loss (P&amp;L) Statement'!L7</f>
        <v>0</v>
      </c>
      <c r="M7" s="18">
        <f>'Profit and Loss (P&amp;L) Statement'!M7</f>
        <v>0</v>
      </c>
      <c r="N7" s="47">
        <f>'Profit and Loss (P&amp;L) Statement'!O7</f>
        <v>0</v>
      </c>
      <c r="O7" s="16">
        <f>'Profit and Loss (P&amp;L) Statement'!P7</f>
        <v>0</v>
      </c>
      <c r="P7" s="16">
        <f>'Profit and Loss (P&amp;L) Statement'!Q7</f>
        <v>0</v>
      </c>
      <c r="Q7" s="18">
        <f>'Profit and Loss (P&amp;L) Statement'!R7</f>
        <v>0</v>
      </c>
    </row>
    <row r="8" spans="1:17">
      <c r="A8" s="15" t="s">
        <v>14</v>
      </c>
      <c r="B8" s="16">
        <f>'Profit and Loss (P&amp;L) Statement'!B8</f>
        <v>8333</v>
      </c>
      <c r="C8" s="16">
        <f>'Profit and Loss (P&amp;L) Statement'!C8</f>
        <v>8333</v>
      </c>
      <c r="D8" s="16">
        <f>'Profit and Loss (P&amp;L) Statement'!D8</f>
        <v>8333</v>
      </c>
      <c r="E8" s="16">
        <f>'Profit and Loss (P&amp;L) Statement'!E8</f>
        <v>8333</v>
      </c>
      <c r="F8" s="16">
        <f>'Profit and Loss (P&amp;L) Statement'!F8</f>
        <v>8333</v>
      </c>
      <c r="G8" s="16">
        <f>'Profit and Loss (P&amp;L) Statement'!G8</f>
        <v>8333</v>
      </c>
      <c r="H8" s="16">
        <f>'Profit and Loss (P&amp;L) Statement'!H8</f>
        <v>8333</v>
      </c>
      <c r="I8" s="16">
        <f>'Profit and Loss (P&amp;L) Statement'!I8</f>
        <v>8333</v>
      </c>
      <c r="J8" s="16">
        <f>'Profit and Loss (P&amp;L) Statement'!J8</f>
        <v>8333</v>
      </c>
      <c r="K8" s="16">
        <f>'Profit and Loss (P&amp;L) Statement'!K8</f>
        <v>8333</v>
      </c>
      <c r="L8" s="16">
        <f>'Profit and Loss (P&amp;L) Statement'!L8</f>
        <v>8333</v>
      </c>
      <c r="M8" s="18">
        <f>'Profit and Loss (P&amp;L) Statement'!M8</f>
        <v>8333</v>
      </c>
      <c r="N8" s="47">
        <f>'Profit and Loss (P&amp;L) Statement'!O8</f>
        <v>104995.8</v>
      </c>
      <c r="O8" s="16">
        <f>'Profit and Loss (P&amp;L) Statement'!P8</f>
        <v>110245.59</v>
      </c>
      <c r="P8" s="16">
        <f>'Profit and Loss (P&amp;L) Statement'!Q8</f>
        <v>115757.8695</v>
      </c>
      <c r="Q8" s="18">
        <f>'Profit and Loss (P&amp;L) Statement'!R8</f>
        <v>121545.762975</v>
      </c>
    </row>
    <row r="9" spans="1:17">
      <c r="A9" s="15" t="s">
        <v>15</v>
      </c>
      <c r="B9" s="16">
        <f>'Profit and Loss (P&amp;L) Statement'!B10</f>
        <v>0</v>
      </c>
      <c r="C9" s="16">
        <f>'Profit and Loss (P&amp;L) Statement'!C10</f>
        <v>0</v>
      </c>
      <c r="D9" s="16">
        <f>'Profit and Loss (P&amp;L) Statement'!D10</f>
        <v>0</v>
      </c>
      <c r="E9" s="16">
        <f>'Profit and Loss (P&amp;L) Statement'!E10</f>
        <v>0</v>
      </c>
      <c r="F9" s="16">
        <f>'Profit and Loss (P&amp;L) Statement'!F10</f>
        <v>0</v>
      </c>
      <c r="G9" s="16">
        <f>'Profit and Loss (P&amp;L) Statement'!G10</f>
        <v>0</v>
      </c>
      <c r="H9" s="16">
        <f>'Profit and Loss (P&amp;L) Statement'!H10</f>
        <v>0</v>
      </c>
      <c r="I9" s="16">
        <f>'Profit and Loss (P&amp;L) Statement'!I10</f>
        <v>0</v>
      </c>
      <c r="J9" s="16">
        <f>'Profit and Loss (P&amp;L) Statement'!J10</f>
        <v>0</v>
      </c>
      <c r="K9" s="16">
        <f>'Profit and Loss (P&amp;L) Statement'!K10</f>
        <v>0</v>
      </c>
      <c r="L9" s="16">
        <f>'Profit and Loss (P&amp;L) Statement'!L10</f>
        <v>0</v>
      </c>
      <c r="M9" s="48">
        <f>'Profit and Loss (P&amp;L) Statement'!M10</f>
        <v>0</v>
      </c>
      <c r="N9" s="47">
        <f>'Profit and Loss (P&amp;L) Statement'!O10</f>
        <v>0</v>
      </c>
      <c r="O9" s="16">
        <f>'Profit and Loss (P&amp;L) Statement'!P10</f>
        <v>0</v>
      </c>
      <c r="P9" s="16">
        <f>'Profit and Loss (P&amp;L) Statement'!Q10</f>
        <v>0</v>
      </c>
      <c r="Q9" s="18">
        <f>'Profit and Loss (P&amp;L) Statement'!R10</f>
        <v>0</v>
      </c>
    </row>
    <row r="10" spans="1:17">
      <c r="A10" s="15" t="s">
        <v>48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8">
        <f>'Profit and Loss (P&amp;L) Statement'!N13</f>
        <v>-30019.32</v>
      </c>
      <c r="N10" s="47">
        <f>'Profit and Loss (P&amp;L) Statement'!O13</f>
        <v>1108961.388</v>
      </c>
      <c r="O10" s="16">
        <f>'Profit and Loss (P&amp;L) Statement'!P13</f>
        <v>1548446.59206</v>
      </c>
      <c r="P10" s="16">
        <f>'Profit and Loss (P&amp;L) Statement'!Q13</f>
        <v>2149981.0604739</v>
      </c>
      <c r="Q10" s="18">
        <f>'Profit and Loss (P&amp;L) Statement'!R13</f>
        <v>2972794.63297447</v>
      </c>
    </row>
    <row r="11" spans="1:17">
      <c r="A11" s="36" t="s">
        <v>66</v>
      </c>
      <c r="B11" s="35">
        <f>B13-B12</f>
        <v>550000</v>
      </c>
      <c r="C11" s="35">
        <f t="shared" ref="C11:M11" si="1">C13-C12</f>
        <v>0</v>
      </c>
      <c r="D11" s="35">
        <f t="shared" si="1"/>
        <v>0</v>
      </c>
      <c r="E11" s="35">
        <f t="shared" si="1"/>
        <v>0</v>
      </c>
      <c r="F11" s="35">
        <f t="shared" si="1"/>
        <v>0</v>
      </c>
      <c r="G11" s="35">
        <f t="shared" si="1"/>
        <v>0</v>
      </c>
      <c r="H11" s="35">
        <f t="shared" si="1"/>
        <v>0</v>
      </c>
      <c r="I11" s="35">
        <f t="shared" si="1"/>
        <v>0</v>
      </c>
      <c r="J11" s="35">
        <f t="shared" si="1"/>
        <v>0</v>
      </c>
      <c r="K11" s="35">
        <f t="shared" si="1"/>
        <v>0</v>
      </c>
      <c r="L11" s="35">
        <f t="shared" si="1"/>
        <v>0</v>
      </c>
      <c r="M11" s="49">
        <f t="shared" si="1"/>
        <v>0</v>
      </c>
      <c r="N11" s="50">
        <f t="shared" ref="N11" si="2">N13-N12</f>
        <v>0</v>
      </c>
      <c r="O11" s="35">
        <f t="shared" ref="O11" si="3">O13-O12</f>
        <v>0</v>
      </c>
      <c r="P11" s="35">
        <f t="shared" ref="P11" si="4">P13-P12</f>
        <v>0</v>
      </c>
      <c r="Q11" s="49">
        <f t="shared" ref="Q11" si="5">Q13-Q12</f>
        <v>0</v>
      </c>
    </row>
    <row r="12" spans="1:17">
      <c r="A12" s="15" t="s">
        <v>67</v>
      </c>
      <c r="B12" s="16">
        <f>Assumptions!B13</f>
        <v>150000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51"/>
      <c r="N12" s="15"/>
      <c r="O12" s="17"/>
      <c r="P12" s="17"/>
      <c r="Q12" s="51"/>
    </row>
    <row r="13" spans="1:17">
      <c r="A13" s="15" t="s">
        <v>68</v>
      </c>
      <c r="B13" s="37">
        <v>700000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51"/>
      <c r="N13" s="15"/>
      <c r="O13" s="17"/>
      <c r="P13" s="17"/>
      <c r="Q13" s="51"/>
    </row>
    <row r="14" spans="1:17">
      <c r="A14" s="36">
        <v>0</v>
      </c>
      <c r="B14" s="35">
        <f>B15-B16</f>
        <v>0</v>
      </c>
      <c r="C14" s="35">
        <f t="shared" ref="C14:M14" si="6">C15-C16</f>
        <v>0</v>
      </c>
      <c r="D14" s="35">
        <f t="shared" si="6"/>
        <v>0</v>
      </c>
      <c r="E14" s="35">
        <f t="shared" si="6"/>
        <v>0</v>
      </c>
      <c r="F14" s="35">
        <f t="shared" si="6"/>
        <v>0</v>
      </c>
      <c r="G14" s="35">
        <f t="shared" si="6"/>
        <v>0</v>
      </c>
      <c r="H14" s="35">
        <f t="shared" si="6"/>
        <v>0</v>
      </c>
      <c r="I14" s="35">
        <f t="shared" si="6"/>
        <v>0</v>
      </c>
      <c r="J14" s="35">
        <f t="shared" si="6"/>
        <v>0</v>
      </c>
      <c r="K14" s="35">
        <f t="shared" si="6"/>
        <v>0</v>
      </c>
      <c r="L14" s="35">
        <f t="shared" si="6"/>
        <v>0</v>
      </c>
      <c r="M14" s="49">
        <f t="shared" si="6"/>
        <v>0</v>
      </c>
      <c r="N14" s="50">
        <f t="shared" ref="N14" si="7">N15-N16</f>
        <v>0</v>
      </c>
      <c r="O14" s="35">
        <f t="shared" ref="O14" si="8">O15-O16</f>
        <v>0</v>
      </c>
      <c r="P14" s="35">
        <f t="shared" ref="P14" si="9">P15-P16</f>
        <v>0</v>
      </c>
      <c r="Q14" s="49">
        <f t="shared" ref="Q14" si="10">Q15-Q16</f>
        <v>0</v>
      </c>
    </row>
    <row r="15" spans="1:17">
      <c r="A15" s="15">
        <v>0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51"/>
      <c r="N15" s="15"/>
      <c r="O15" s="17"/>
      <c r="P15" s="17"/>
      <c r="Q15" s="51"/>
    </row>
    <row r="16" spans="1:17">
      <c r="A16" s="23">
        <v>0</v>
      </c>
      <c r="B16" s="2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52"/>
      <c r="N16" s="23"/>
      <c r="O16" s="25"/>
      <c r="P16" s="25"/>
      <c r="Q16" s="52"/>
    </row>
    <row r="17" spans="1:17">
      <c r="A17" s="38" t="s">
        <v>69</v>
      </c>
      <c r="B17" s="39">
        <f t="shared" ref="B17:Q17" si="11">B2+B11+B14</f>
        <v>504168</v>
      </c>
      <c r="C17" s="40">
        <f t="shared" si="11"/>
        <v>-45832</v>
      </c>
      <c r="D17" s="40">
        <f t="shared" si="11"/>
        <v>-45832</v>
      </c>
      <c r="E17" s="40">
        <f t="shared" si="11"/>
        <v>-45832</v>
      </c>
      <c r="F17" s="40">
        <f t="shared" si="11"/>
        <v>-45832</v>
      </c>
      <c r="G17" s="40">
        <f t="shared" si="11"/>
        <v>-45832</v>
      </c>
      <c r="H17" s="40">
        <f t="shared" si="11"/>
        <v>-45832</v>
      </c>
      <c r="I17" s="40">
        <f t="shared" si="11"/>
        <v>-45832</v>
      </c>
      <c r="J17" s="40">
        <f t="shared" si="11"/>
        <v>-45832</v>
      </c>
      <c r="K17" s="40">
        <f t="shared" si="11"/>
        <v>-45832</v>
      </c>
      <c r="L17" s="40">
        <f t="shared" si="11"/>
        <v>-45832</v>
      </c>
      <c r="M17" s="53">
        <f t="shared" si="11"/>
        <v>-223792.68</v>
      </c>
      <c r="N17" s="54">
        <f t="shared" si="11"/>
        <v>5081935.212</v>
      </c>
      <c r="O17" s="55">
        <f t="shared" si="11"/>
        <v>7084034.47494</v>
      </c>
      <c r="P17" s="55">
        <f t="shared" si="11"/>
        <v>9824358.1643811</v>
      </c>
      <c r="Q17" s="59">
        <f t="shared" si="11"/>
        <v>13572731.1057726</v>
      </c>
    </row>
    <row r="18" spans="1:17">
      <c r="A18" s="27" t="s">
        <v>70</v>
      </c>
      <c r="B18" s="41">
        <f>B17</f>
        <v>504168</v>
      </c>
      <c r="C18" s="41">
        <f>B18+C17</f>
        <v>458336</v>
      </c>
      <c r="D18" s="41">
        <f>D17+C18</f>
        <v>412504</v>
      </c>
      <c r="E18" s="42">
        <f t="shared" ref="E18:Q18" si="12">E17+D18</f>
        <v>366672</v>
      </c>
      <c r="F18" s="42">
        <f t="shared" si="12"/>
        <v>320840</v>
      </c>
      <c r="G18" s="42">
        <f t="shared" si="12"/>
        <v>275008</v>
      </c>
      <c r="H18" s="42">
        <f t="shared" si="12"/>
        <v>229176</v>
      </c>
      <c r="I18" s="42">
        <f t="shared" si="12"/>
        <v>183344</v>
      </c>
      <c r="J18" s="42">
        <f t="shared" si="12"/>
        <v>137512</v>
      </c>
      <c r="K18" s="42">
        <f t="shared" si="12"/>
        <v>91680</v>
      </c>
      <c r="L18" s="42">
        <f t="shared" si="12"/>
        <v>45848</v>
      </c>
      <c r="M18" s="56">
        <f t="shared" si="12"/>
        <v>-177944.68</v>
      </c>
      <c r="N18" s="56">
        <f t="shared" si="12"/>
        <v>4903990.532</v>
      </c>
      <c r="O18" s="56">
        <f t="shared" si="12"/>
        <v>11988025.00694</v>
      </c>
      <c r="P18" s="56">
        <f t="shared" si="12"/>
        <v>21812383.1713211</v>
      </c>
      <c r="Q18" s="56">
        <f t="shared" si="12"/>
        <v>35385114.2770937</v>
      </c>
    </row>
    <row r="19" ht="15.15"/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workbookViewId="0">
      <selection activeCell="A12" sqref="A12"/>
    </sheetView>
  </sheetViews>
  <sheetFormatPr defaultColWidth="9" defaultRowHeight="14.4" outlineLevelCol="3"/>
  <cols>
    <col min="1" max="1" width="19" customWidth="1"/>
    <col min="2" max="2" width="11.3333333333333" style="14" customWidth="1"/>
    <col min="3" max="3" width="19" customWidth="1"/>
    <col min="4" max="4" width="11.3333333333333" style="14" customWidth="1"/>
  </cols>
  <sheetData>
    <row r="1" spans="1:4">
      <c r="A1" s="2" t="s">
        <v>71</v>
      </c>
      <c r="B1" s="3"/>
      <c r="C1" s="3"/>
      <c r="D1" s="4"/>
    </row>
    <row r="2" spans="1:4">
      <c r="A2" s="5" t="s">
        <v>72</v>
      </c>
      <c r="B2" s="8"/>
      <c r="C2" s="8" t="s">
        <v>73</v>
      </c>
      <c r="D2" s="9"/>
    </row>
    <row r="3" spans="1:4">
      <c r="A3" s="15" t="s">
        <v>74</v>
      </c>
      <c r="B3" s="16">
        <f>'Cash Flow Statement'!M18</f>
        <v>-177944.68</v>
      </c>
      <c r="C3" s="17" t="s">
        <v>75</v>
      </c>
      <c r="D3" s="18">
        <f>'Profit and Loss (P&amp;L) Statement'!N3-SUM('Cash Flow Statement'!B4:M4)</f>
        <v>0</v>
      </c>
    </row>
    <row r="4" spans="1:4">
      <c r="A4" s="15" t="s">
        <v>76</v>
      </c>
      <c r="B4" s="16">
        <f>'Profit and Loss (P&amp;L) Statement'!N2-SUM('Cash Flow Statement'!B3:M3)</f>
        <v>621190</v>
      </c>
      <c r="C4" s="17" t="s">
        <v>77</v>
      </c>
      <c r="D4" s="18">
        <f>'Profit and Loss (P&amp;L) Statement'!N5-SUM('Cash Flow Statement'!B5:M5)</f>
        <v>0</v>
      </c>
    </row>
    <row r="5" spans="1:4">
      <c r="A5" s="15" t="s">
        <v>78</v>
      </c>
      <c r="B5" s="16">
        <f>Assumptions!B13</f>
        <v>150000</v>
      </c>
      <c r="C5" s="17" t="s">
        <v>79</v>
      </c>
      <c r="D5" s="18">
        <f>'Profit and Loss (P&amp;L) Statement'!N6-SUM('Cash Flow Statement'!B6:M6)</f>
        <v>0</v>
      </c>
    </row>
    <row r="6" spans="1:4">
      <c r="A6" s="15" t="s">
        <v>80</v>
      </c>
      <c r="B6" s="16">
        <f>-SUM('Profit and Loss (P&amp;L) Statement'!B9:M9)</f>
        <v>-30000</v>
      </c>
      <c r="C6" s="17" t="s">
        <v>81</v>
      </c>
      <c r="D6" s="18">
        <f>'Profit and Loss (P&amp;L) Statement'!N7-SUM('Cash Flow Statement'!B7:M7)</f>
        <v>0</v>
      </c>
    </row>
    <row r="7" spans="1:4">
      <c r="A7" s="15" t="s">
        <v>82</v>
      </c>
      <c r="B7" s="16">
        <f>SUM('Cash Flow Statement'!B4:M4)-SUM('Profit and Loss (P&amp;L) Statement'!B3:M3)</f>
        <v>0</v>
      </c>
      <c r="C7" s="17" t="s">
        <v>83</v>
      </c>
      <c r="D7" s="18">
        <f>'Profit and Loss (P&amp;L) Statement'!N8-SUM('Cash Flow Statement'!B8:M8)</f>
        <v>0</v>
      </c>
    </row>
    <row r="8" spans="1:4">
      <c r="A8" s="15"/>
      <c r="B8" s="16"/>
      <c r="C8" s="17" t="s">
        <v>84</v>
      </c>
      <c r="D8" s="18">
        <f>'Profit and Loss (P&amp;L) Statement'!N10-SUM('Cash Flow Statement'!B9:M9)</f>
        <v>0</v>
      </c>
    </row>
    <row r="9" spans="1:4">
      <c r="A9" s="15"/>
      <c r="B9" s="16"/>
      <c r="C9" s="17" t="s">
        <v>85</v>
      </c>
      <c r="D9" s="18">
        <f>'Cash Flow Statement'!B13</f>
        <v>700000</v>
      </c>
    </row>
    <row r="10" ht="15.15" spans="1:4">
      <c r="A10" s="15"/>
      <c r="B10" s="16"/>
      <c r="C10" s="17" t="s">
        <v>86</v>
      </c>
      <c r="D10" s="18">
        <f>'Profit and Loss (P&amp;L) Statement'!N14</f>
        <v>-136754.68</v>
      </c>
    </row>
    <row r="11" ht="15.9" spans="1:4">
      <c r="A11" s="19" t="s">
        <v>87</v>
      </c>
      <c r="B11" s="20">
        <f>SUM(B3:B10)</f>
        <v>563245.32</v>
      </c>
      <c r="C11" s="21" t="s">
        <v>88</v>
      </c>
      <c r="D11" s="22">
        <f>SUM(D3:D10)</f>
        <v>563245.32</v>
      </c>
    </row>
    <row r="12" spans="1:2">
      <c r="A12" t="s">
        <v>89</v>
      </c>
      <c r="B12" s="14">
        <f>B11-D11</f>
        <v>0</v>
      </c>
    </row>
    <row r="13" ht="15.15"/>
    <row r="14" spans="1:4">
      <c r="A14" s="2" t="s">
        <v>90</v>
      </c>
      <c r="B14" s="3"/>
      <c r="C14" s="3"/>
      <c r="D14" s="4"/>
    </row>
    <row r="15" spans="1:4">
      <c r="A15" s="5" t="s">
        <v>72</v>
      </c>
      <c r="B15" s="8"/>
      <c r="C15" s="8" t="s">
        <v>73</v>
      </c>
      <c r="D15" s="9"/>
    </row>
    <row r="16" spans="1:4">
      <c r="A16" s="15" t="s">
        <v>74</v>
      </c>
      <c r="B16" s="16">
        <f>'Cash Flow Statement'!N18</f>
        <v>4903990.532</v>
      </c>
      <c r="C16" s="17" t="s">
        <v>75</v>
      </c>
      <c r="D16" s="18">
        <f>D3+'Profit and Loss (P&amp;L) Statement'!O3-'Cash Flow Statement'!N4</f>
        <v>0</v>
      </c>
    </row>
    <row r="17" spans="1:4">
      <c r="A17" s="15" t="s">
        <v>76</v>
      </c>
      <c r="B17" s="16">
        <f>B4+'Profit and Loss (P&amp;L) Statement'!O2-'Cash Flow Statement'!N3</f>
        <v>621190</v>
      </c>
      <c r="C17" s="17" t="s">
        <v>77</v>
      </c>
      <c r="D17" s="18">
        <f>D4+'Profit and Loss (P&amp;L) Statement'!O5-'Cash Flow Statement'!N5</f>
        <v>0</v>
      </c>
    </row>
    <row r="18" spans="1:4">
      <c r="A18" s="15" t="s">
        <v>78</v>
      </c>
      <c r="B18" s="16">
        <f>B5</f>
        <v>150000</v>
      </c>
      <c r="C18" s="17" t="s">
        <v>79</v>
      </c>
      <c r="D18" s="18">
        <f>D5+'Profit and Loss (P&amp;L) Statement'!O6-'Cash Flow Statement'!N6</f>
        <v>0</v>
      </c>
    </row>
    <row r="19" spans="1:4">
      <c r="A19" s="15" t="s">
        <v>80</v>
      </c>
      <c r="B19" s="16">
        <f>B6-'Profit and Loss (P&amp;L) Statement'!O9</f>
        <v>-60000</v>
      </c>
      <c r="C19" s="17" t="s">
        <v>81</v>
      </c>
      <c r="D19" s="18">
        <f>D6+'Profit and Loss (P&amp;L) Statement'!O7-'Cash Flow Statement'!N7</f>
        <v>0</v>
      </c>
    </row>
    <row r="20" spans="1:4">
      <c r="A20" s="15" t="s">
        <v>82</v>
      </c>
      <c r="B20" s="16">
        <f>B7+'Cash Flow Statement'!N4-'Profit and Loss (P&amp;L) Statement'!O3</f>
        <v>0</v>
      </c>
      <c r="C20" s="17" t="s">
        <v>83</v>
      </c>
      <c r="D20" s="18">
        <f>D7+'Profit and Loss (P&amp;L) Statement'!O8-'Cash Flow Statement'!N8</f>
        <v>0</v>
      </c>
    </row>
    <row r="21" spans="1:4">
      <c r="A21" s="15"/>
      <c r="B21" s="16"/>
      <c r="C21" s="17" t="s">
        <v>84</v>
      </c>
      <c r="D21" s="18">
        <f>D8+'Profit and Loss (P&amp;L) Statement'!O10-'Cash Flow Statement'!N9</f>
        <v>0</v>
      </c>
    </row>
    <row r="22" spans="1:4">
      <c r="A22" s="15"/>
      <c r="B22" s="16"/>
      <c r="C22" s="17" t="s">
        <v>85</v>
      </c>
      <c r="D22" s="18">
        <f>D9</f>
        <v>700000</v>
      </c>
    </row>
    <row r="23" spans="1:4">
      <c r="A23" s="15"/>
      <c r="B23" s="16"/>
      <c r="C23" s="17" t="s">
        <v>86</v>
      </c>
      <c r="D23" s="18">
        <f>D10</f>
        <v>-136754.68</v>
      </c>
    </row>
    <row r="24" spans="1:4">
      <c r="A24" s="23"/>
      <c r="B24" s="24"/>
      <c r="C24" s="25" t="s">
        <v>91</v>
      </c>
      <c r="D24" s="26">
        <f>'Profit and Loss (P&amp;L) Statement'!O14</f>
        <v>5051935.212</v>
      </c>
    </row>
    <row r="25" ht="15.9" spans="1:4">
      <c r="A25" s="19" t="s">
        <v>87</v>
      </c>
      <c r="B25" s="20">
        <f>SUM(B16:B24)</f>
        <v>5615180.532</v>
      </c>
      <c r="C25" s="21" t="s">
        <v>88</v>
      </c>
      <c r="D25" s="22">
        <f>SUM(D16:D24)</f>
        <v>5615180.532</v>
      </c>
    </row>
    <row r="26" ht="15.15" spans="1:2">
      <c r="A26" t="s">
        <v>92</v>
      </c>
      <c r="B26" s="14">
        <f>B25-D25</f>
        <v>0</v>
      </c>
    </row>
    <row r="27" ht="15.15"/>
    <row r="28" spans="1:4">
      <c r="A28" s="2" t="s">
        <v>93</v>
      </c>
      <c r="B28" s="3"/>
      <c r="C28" s="3"/>
      <c r="D28" s="4"/>
    </row>
    <row r="29" spans="1:4">
      <c r="A29" s="5" t="s">
        <v>72</v>
      </c>
      <c r="B29" s="8"/>
      <c r="C29" s="8" t="s">
        <v>73</v>
      </c>
      <c r="D29" s="9"/>
    </row>
    <row r="30" spans="1:4">
      <c r="A30" s="15" t="s">
        <v>74</v>
      </c>
      <c r="B30" s="16">
        <f>'Cash Flow Statement'!O18</f>
        <v>11988025.00694</v>
      </c>
      <c r="C30" s="17" t="s">
        <v>75</v>
      </c>
      <c r="D30" s="18">
        <f>D16+'Profit and Loss (P&amp;L) Statement'!P3-'Cash Flow Statement'!O4</f>
        <v>0</v>
      </c>
    </row>
    <row r="31" spans="1:4">
      <c r="A31" s="15" t="s">
        <v>76</v>
      </c>
      <c r="B31" s="16">
        <f>B17+'Profit and Loss (P&amp;L) Statement'!P2-'Cash Flow Statement'!O3</f>
        <v>621190</v>
      </c>
      <c r="C31" s="17" t="s">
        <v>77</v>
      </c>
      <c r="D31" s="18">
        <f>D17+'Profit and Loss (P&amp;L) Statement'!P5-'Cash Flow Statement'!O5</f>
        <v>0</v>
      </c>
    </row>
    <row r="32" spans="1:4">
      <c r="A32" s="15" t="s">
        <v>78</v>
      </c>
      <c r="B32" s="16">
        <f>Assumptions!B13</f>
        <v>150000</v>
      </c>
      <c r="C32" s="17" t="s">
        <v>79</v>
      </c>
      <c r="D32" s="18">
        <f>D18+'Profit and Loss (P&amp;L) Statement'!P6-'Cash Flow Statement'!O6</f>
        <v>0</v>
      </c>
    </row>
    <row r="33" spans="1:4">
      <c r="A33" s="15" t="s">
        <v>80</v>
      </c>
      <c r="B33" s="16">
        <f>B19-'Profit and Loss (P&amp;L) Statement'!P9</f>
        <v>-90000</v>
      </c>
      <c r="C33" s="17" t="s">
        <v>81</v>
      </c>
      <c r="D33" s="18">
        <f>D19+'Profit and Loss (P&amp;L) Statement'!P7-'Cash Flow Statement'!O7</f>
        <v>0</v>
      </c>
    </row>
    <row r="34" spans="1:4">
      <c r="A34" s="15" t="s">
        <v>82</v>
      </c>
      <c r="B34" s="16">
        <f>B20+'Cash Flow Statement'!O4-'Profit and Loss (P&amp;L) Statement'!P3</f>
        <v>0</v>
      </c>
      <c r="C34" s="17" t="s">
        <v>83</v>
      </c>
      <c r="D34" s="18">
        <f>D20+'Profit and Loss (P&amp;L) Statement'!P8-'Cash Flow Statement'!O8</f>
        <v>0</v>
      </c>
    </row>
    <row r="35" spans="1:4">
      <c r="A35" s="15"/>
      <c r="B35" s="16"/>
      <c r="C35" s="17" t="s">
        <v>84</v>
      </c>
      <c r="D35" s="18">
        <f>D21+'Profit and Loss (P&amp;L) Statement'!P10-'Cash Flow Statement'!O9</f>
        <v>0</v>
      </c>
    </row>
    <row r="36" spans="1:4">
      <c r="A36" s="15"/>
      <c r="B36" s="16"/>
      <c r="C36" s="17" t="s">
        <v>85</v>
      </c>
      <c r="D36" s="18">
        <f>D22</f>
        <v>700000</v>
      </c>
    </row>
    <row r="37" spans="1:4">
      <c r="A37" s="15"/>
      <c r="B37" s="16"/>
      <c r="C37" s="17" t="s">
        <v>86</v>
      </c>
      <c r="D37" s="18">
        <f>D23</f>
        <v>-136754.68</v>
      </c>
    </row>
    <row r="38" spans="1:4">
      <c r="A38" s="15"/>
      <c r="B38" s="16"/>
      <c r="C38" s="17" t="s">
        <v>91</v>
      </c>
      <c r="D38" s="18">
        <f>D24</f>
        <v>5051935.212</v>
      </c>
    </row>
    <row r="39" spans="1:4">
      <c r="A39" s="27"/>
      <c r="B39" s="28"/>
      <c r="C39" s="29" t="s">
        <v>94</v>
      </c>
      <c r="D39" s="30">
        <f>'Profit and Loss (P&amp;L) Statement'!P14</f>
        <v>7054034.47494</v>
      </c>
    </row>
    <row r="40" ht="15.9" spans="1:4">
      <c r="A40" s="19" t="s">
        <v>87</v>
      </c>
      <c r="B40" s="20">
        <f>SUM(B30:B38)</f>
        <v>12669215.00694</v>
      </c>
      <c r="C40" s="21" t="s">
        <v>88</v>
      </c>
      <c r="D40" s="22">
        <f>SUM(D30:D39)</f>
        <v>12669215.00694</v>
      </c>
    </row>
    <row r="41" spans="1:2">
      <c r="A41" t="s">
        <v>89</v>
      </c>
      <c r="B41" s="14">
        <f>B40-D40</f>
        <v>0</v>
      </c>
    </row>
    <row r="42" ht="15.15"/>
    <row r="43" spans="1:4">
      <c r="A43" s="2" t="s">
        <v>95</v>
      </c>
      <c r="B43" s="3"/>
      <c r="C43" s="3"/>
      <c r="D43" s="4"/>
    </row>
    <row r="44" spans="1:4">
      <c r="A44" s="5" t="s">
        <v>72</v>
      </c>
      <c r="B44" s="8"/>
      <c r="C44" s="8" t="s">
        <v>73</v>
      </c>
      <c r="D44" s="9"/>
    </row>
    <row r="45" spans="1:4">
      <c r="A45" s="15" t="s">
        <v>74</v>
      </c>
      <c r="B45" s="16">
        <f>'Cash Flow Statement'!P18</f>
        <v>21812383.1713211</v>
      </c>
      <c r="C45" s="17" t="s">
        <v>75</v>
      </c>
      <c r="D45" s="18">
        <f>D30+'Profit and Loss (P&amp;L) Statement'!Q3-'Cash Flow Statement'!P4</f>
        <v>0</v>
      </c>
    </row>
    <row r="46" spans="1:4">
      <c r="A46" s="15" t="s">
        <v>76</v>
      </c>
      <c r="B46" s="16">
        <f>B31+'Profit and Loss (P&amp;L) Statement'!Q2-'Cash Flow Statement'!P3</f>
        <v>621190</v>
      </c>
      <c r="C46" s="17" t="s">
        <v>77</v>
      </c>
      <c r="D46" s="18">
        <f>D31+'Profit and Loss (P&amp;L) Statement'!Q5-'Cash Flow Statement'!P5</f>
        <v>0</v>
      </c>
    </row>
    <row r="47" spans="1:4">
      <c r="A47" s="15" t="s">
        <v>78</v>
      </c>
      <c r="B47" s="16">
        <f>Assumptions!B13</f>
        <v>150000</v>
      </c>
      <c r="C47" s="17" t="s">
        <v>79</v>
      </c>
      <c r="D47" s="18">
        <f>D32+'Profit and Loss (P&amp;L) Statement'!Q6-'Cash Flow Statement'!P6</f>
        <v>0</v>
      </c>
    </row>
    <row r="48" spans="1:4">
      <c r="A48" s="15" t="s">
        <v>80</v>
      </c>
      <c r="B48" s="16">
        <f>B33-'Profit and Loss (P&amp;L) Statement'!Q9</f>
        <v>-120000</v>
      </c>
      <c r="C48" s="17" t="s">
        <v>81</v>
      </c>
      <c r="D48" s="18">
        <f>D33+'Profit and Loss (P&amp;L) Statement'!Q7-'Cash Flow Statement'!P7</f>
        <v>0</v>
      </c>
    </row>
    <row r="49" spans="1:4">
      <c r="A49" s="15" t="s">
        <v>82</v>
      </c>
      <c r="B49" s="16"/>
      <c r="C49" s="17" t="s">
        <v>83</v>
      </c>
      <c r="D49" s="18">
        <f>D34+'Profit and Loss (P&amp;L) Statement'!Q8-'Cash Flow Statement'!P8</f>
        <v>0</v>
      </c>
    </row>
    <row r="50" spans="1:4">
      <c r="A50" s="15"/>
      <c r="B50" s="16"/>
      <c r="C50" s="17" t="s">
        <v>84</v>
      </c>
      <c r="D50" s="18">
        <f>D35+'Profit and Loss (P&amp;L) Statement'!Q10-'Cash Flow Statement'!P9</f>
        <v>0</v>
      </c>
    </row>
    <row r="51" spans="1:4">
      <c r="A51" s="15"/>
      <c r="B51" s="16"/>
      <c r="C51" s="17" t="s">
        <v>85</v>
      </c>
      <c r="D51" s="18">
        <f>D36</f>
        <v>700000</v>
      </c>
    </row>
    <row r="52" spans="1:4">
      <c r="A52" s="15"/>
      <c r="B52" s="16"/>
      <c r="C52" s="17" t="s">
        <v>86</v>
      </c>
      <c r="D52" s="18">
        <f>D37</f>
        <v>-136754.68</v>
      </c>
    </row>
    <row r="53" spans="1:4">
      <c r="A53" s="15"/>
      <c r="B53" s="16"/>
      <c r="C53" s="17" t="s">
        <v>91</v>
      </c>
      <c r="D53" s="18">
        <f>D38</f>
        <v>5051935.212</v>
      </c>
    </row>
    <row r="54" spans="1:4">
      <c r="A54" s="23"/>
      <c r="B54" s="24"/>
      <c r="C54" s="25" t="s">
        <v>94</v>
      </c>
      <c r="D54" s="26">
        <f>D39</f>
        <v>7054034.47494</v>
      </c>
    </row>
    <row r="55" spans="1:4">
      <c r="A55" s="27"/>
      <c r="B55" s="28"/>
      <c r="C55" s="29" t="s">
        <v>96</v>
      </c>
      <c r="D55" s="30">
        <f>'Profit and Loss (P&amp;L) Statement'!Q14</f>
        <v>9794358.1643811</v>
      </c>
    </row>
    <row r="56" ht="15.9" spans="1:4">
      <c r="A56" s="19" t="s">
        <v>87</v>
      </c>
      <c r="B56" s="20">
        <f>SUM(B45:B55)</f>
        <v>22463573.1713211</v>
      </c>
      <c r="C56" s="21" t="s">
        <v>88</v>
      </c>
      <c r="D56" s="22">
        <f>SUM(D45:D55)</f>
        <v>22463573.1713211</v>
      </c>
    </row>
    <row r="57" spans="1:2">
      <c r="A57" t="s">
        <v>89</v>
      </c>
      <c r="B57" s="14">
        <f>B56-D56</f>
        <v>0</v>
      </c>
    </row>
    <row r="58" ht="15.15"/>
    <row r="59" spans="1:4">
      <c r="A59" s="2" t="s">
        <v>97</v>
      </c>
      <c r="B59" s="3"/>
      <c r="C59" s="3"/>
      <c r="D59" s="4"/>
    </row>
    <row r="60" spans="1:4">
      <c r="A60" s="5" t="s">
        <v>72</v>
      </c>
      <c r="B60" s="8"/>
      <c r="C60" s="8" t="s">
        <v>73</v>
      </c>
      <c r="D60" s="9"/>
    </row>
    <row r="61" spans="1:4">
      <c r="A61" s="15" t="s">
        <v>74</v>
      </c>
      <c r="B61" s="16">
        <f>'Cash Flow Statement'!Q18</f>
        <v>35385114.2770937</v>
      </c>
      <c r="C61" s="17" t="s">
        <v>75</v>
      </c>
      <c r="D61" s="18">
        <f>D45+'Profit and Loss (P&amp;L) Statement'!R3-'Cash Flow Statement'!Q4</f>
        <v>0</v>
      </c>
    </row>
    <row r="62" spans="1:4">
      <c r="A62" s="15" t="s">
        <v>76</v>
      </c>
      <c r="B62" s="16">
        <f>B46+'Profit and Loss (P&amp;L) Statement'!R2-'Cash Flow Statement'!Q3</f>
        <v>621190</v>
      </c>
      <c r="C62" s="17" t="s">
        <v>77</v>
      </c>
      <c r="D62" s="18">
        <f>D46+'Profit and Loss (P&amp;L) Statement'!R5-'Cash Flow Statement'!Q5</f>
        <v>0</v>
      </c>
    </row>
    <row r="63" spans="1:4">
      <c r="A63" s="15" t="s">
        <v>78</v>
      </c>
      <c r="B63" s="16">
        <f>Assumptions!B13</f>
        <v>150000</v>
      </c>
      <c r="C63" s="17" t="s">
        <v>79</v>
      </c>
      <c r="D63" s="18">
        <f>D47+'Profit and Loss (P&amp;L) Statement'!R6-'Cash Flow Statement'!Q6</f>
        <v>0</v>
      </c>
    </row>
    <row r="64" spans="1:4">
      <c r="A64" s="15" t="s">
        <v>80</v>
      </c>
      <c r="B64" s="16">
        <f>B48-'Profit and Loss (P&amp;L) Statement'!R9</f>
        <v>-150000</v>
      </c>
      <c r="C64" s="17" t="s">
        <v>81</v>
      </c>
      <c r="D64" s="18">
        <f>D48+'Profit and Loss (P&amp;L) Statement'!R7-'Cash Flow Statement'!Q7</f>
        <v>0</v>
      </c>
    </row>
    <row r="65" spans="1:4">
      <c r="A65" s="15" t="s">
        <v>82</v>
      </c>
      <c r="B65" s="16">
        <f>B49+'Cash Flow Statement'!Q4-'Profit and Loss (P&amp;L) Statement'!R3</f>
        <v>0</v>
      </c>
      <c r="C65" s="17" t="s">
        <v>83</v>
      </c>
      <c r="D65" s="18">
        <f>D49+'Profit and Loss (P&amp;L) Statement'!R8-'Cash Flow Statement'!Q8</f>
        <v>0</v>
      </c>
    </row>
    <row r="66" spans="1:4">
      <c r="A66" s="15"/>
      <c r="B66" s="16"/>
      <c r="C66" s="17" t="s">
        <v>84</v>
      </c>
      <c r="D66" s="18">
        <f>D50+'Profit and Loss (P&amp;L) Statement'!R10-'Cash Flow Statement'!Q9</f>
        <v>0</v>
      </c>
    </row>
    <row r="67" spans="1:4">
      <c r="A67" s="15"/>
      <c r="B67" s="16"/>
      <c r="C67" s="17" t="s">
        <v>85</v>
      </c>
      <c r="D67" s="18">
        <f>D51</f>
        <v>700000</v>
      </c>
    </row>
    <row r="68" spans="1:4">
      <c r="A68" s="15"/>
      <c r="B68" s="16"/>
      <c r="C68" s="17" t="s">
        <v>86</v>
      </c>
      <c r="D68" s="18">
        <f>D52</f>
        <v>-136754.68</v>
      </c>
    </row>
    <row r="69" spans="1:4">
      <c r="A69" s="15"/>
      <c r="B69" s="16"/>
      <c r="C69" s="17" t="s">
        <v>91</v>
      </c>
      <c r="D69" s="18">
        <f>D53</f>
        <v>5051935.212</v>
      </c>
    </row>
    <row r="70" spans="1:4">
      <c r="A70" s="23"/>
      <c r="B70" s="24"/>
      <c r="C70" s="25" t="s">
        <v>94</v>
      </c>
      <c r="D70" s="18">
        <f>D54</f>
        <v>7054034.47494</v>
      </c>
    </row>
    <row r="71" spans="1:4">
      <c r="A71" s="27"/>
      <c r="B71" s="28"/>
      <c r="C71" s="29" t="s">
        <v>96</v>
      </c>
      <c r="D71" s="18">
        <f>D55</f>
        <v>9794358.1643811</v>
      </c>
    </row>
    <row r="72" spans="1:4">
      <c r="A72" s="31"/>
      <c r="B72" s="32"/>
      <c r="C72" s="29" t="s">
        <v>98</v>
      </c>
      <c r="D72" s="33">
        <f>'Profit and Loss (P&amp;L) Statement'!R14</f>
        <v>13542731.1057726</v>
      </c>
    </row>
    <row r="73" ht="15.9" spans="1:4">
      <c r="A73" s="19" t="s">
        <v>87</v>
      </c>
      <c r="B73" s="20">
        <f>SUM(B61:B71)</f>
        <v>36006304.2770937</v>
      </c>
      <c r="C73" s="21" t="s">
        <v>88</v>
      </c>
      <c r="D73" s="22">
        <f>SUM(D61:D72)</f>
        <v>36006304.2770937</v>
      </c>
    </row>
    <row r="74" spans="1:2">
      <c r="A74" t="s">
        <v>89</v>
      </c>
      <c r="B74" s="14">
        <f>B73-D73</f>
        <v>0</v>
      </c>
    </row>
  </sheetData>
  <mergeCells count="15">
    <mergeCell ref="A1:D1"/>
    <mergeCell ref="A2:B2"/>
    <mergeCell ref="C2:D2"/>
    <mergeCell ref="A14:D14"/>
    <mergeCell ref="A15:B15"/>
    <mergeCell ref="C15:D15"/>
    <mergeCell ref="A28:D28"/>
    <mergeCell ref="A29:B29"/>
    <mergeCell ref="C29:D29"/>
    <mergeCell ref="A43:D43"/>
    <mergeCell ref="A44:B44"/>
    <mergeCell ref="C44:D44"/>
    <mergeCell ref="A59:D59"/>
    <mergeCell ref="A60:B60"/>
    <mergeCell ref="C60:D60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C4" sqref="C4"/>
    </sheetView>
  </sheetViews>
  <sheetFormatPr defaultColWidth="9" defaultRowHeight="14.4" outlineLevelRow="6" outlineLevelCol="5"/>
  <cols>
    <col min="1" max="1" width="28.2222222222222" style="1" customWidth="1"/>
    <col min="2" max="2" width="10.4444444444444" style="1" customWidth="1"/>
    <col min="3" max="3" width="10.3333333333333" style="1" customWidth="1"/>
    <col min="4" max="6" width="11.3333333333333" style="1" customWidth="1"/>
    <col min="7" max="16384" width="8.88888888888889" style="1"/>
  </cols>
  <sheetData>
    <row r="1" spans="1:6">
      <c r="A1" s="2" t="s">
        <v>99</v>
      </c>
      <c r="B1" s="3">
        <v>1</v>
      </c>
      <c r="C1" s="3">
        <v>2</v>
      </c>
      <c r="D1" s="3">
        <v>3</v>
      </c>
      <c r="E1" s="3">
        <v>4</v>
      </c>
      <c r="F1" s="4">
        <v>5</v>
      </c>
    </row>
    <row r="2" spans="1:6">
      <c r="A2" s="5" t="s">
        <v>100</v>
      </c>
      <c r="B2" s="6">
        <f>'Profit and Loss (P&amp;L) Statement'!N18</f>
        <v>-0.186567389381943</v>
      </c>
      <c r="C2" s="6">
        <f>'Profit and Loss (P&amp;L) Statement'!O18</f>
        <v>0.356578705932766</v>
      </c>
      <c r="D2" s="6">
        <f>'Profit and Loss (P&amp;L) Statement'!P18</f>
        <v>0.309115335496951</v>
      </c>
      <c r="E2" s="6">
        <f>'Profit and Loss (P&amp;L) Statement'!Q18</f>
        <v>0.266467529983605</v>
      </c>
      <c r="F2" s="7">
        <f>'Profit and Loss (P&amp;L) Statement'!R18</f>
        <v>0.228749372640668</v>
      </c>
    </row>
    <row r="3" spans="1:6">
      <c r="A3" s="5" t="s">
        <v>101</v>
      </c>
      <c r="B3" s="6">
        <f>'Profit and Loss (P&amp;L) Statement'!N19</f>
        <v>-0.165562566585956</v>
      </c>
      <c r="C3" s="6">
        <f>'Profit and Loss (P&amp;L) Statement'!O19</f>
        <v>5.18317315631797</v>
      </c>
      <c r="D3" s="6">
        <f>'Profit and Loss (P&amp;L) Statement'!P19</f>
        <v>6.13329022627505</v>
      </c>
      <c r="E3" s="6">
        <f>'Profit and Loss (P&amp;L) Statement'!Q19</f>
        <v>7.21688711491623</v>
      </c>
      <c r="F3" s="7">
        <f>'Profit and Loss (P&amp;L) Statement'!R19</f>
        <v>8.45664654180588</v>
      </c>
    </row>
    <row r="4" spans="1:6">
      <c r="A4" s="5" t="s">
        <v>55</v>
      </c>
      <c r="B4" s="8">
        <v>20</v>
      </c>
      <c r="C4" s="8" t="s">
        <v>56</v>
      </c>
      <c r="D4" s="8"/>
      <c r="E4" s="8"/>
      <c r="F4" s="9"/>
    </row>
    <row r="5" spans="1:6">
      <c r="A5" s="5" t="s">
        <v>102</v>
      </c>
      <c r="B5" s="10">
        <f>'Cash Flow Statement'!B13</f>
        <v>700000</v>
      </c>
      <c r="C5" s="8" t="str">
        <f>Assumptions!B2</f>
        <v>Dollar</v>
      </c>
      <c r="D5" s="8"/>
      <c r="E5" s="8"/>
      <c r="F5" s="9"/>
    </row>
    <row r="6" spans="1:6">
      <c r="A6" s="11" t="s">
        <v>103</v>
      </c>
      <c r="B6" s="12">
        <f>'Profit and Loss (P&amp;L) Statement'!N20</f>
        <v>871905.958132669</v>
      </c>
      <c r="C6" s="12">
        <f>'Profit and Loss (P&amp;L) Statement'!O20</f>
        <v>913246.264630575</v>
      </c>
      <c r="D6" s="12">
        <f>'Profit and Loss (P&amp;L) Statement'!P20</f>
        <v>956653.586453377</v>
      </c>
      <c r="E6" s="12">
        <f>'Profit and Loss (P&amp;L) Statement'!Q20</f>
        <v>1002231.27436732</v>
      </c>
      <c r="F6" s="13">
        <f>'Profit and Loss (P&amp;L) Statement'!R20</f>
        <v>1050087.84667696</v>
      </c>
    </row>
    <row r="7" ht="15.15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Assumptions</vt:lpstr>
      <vt:lpstr>Revenues and Expenses</vt:lpstr>
      <vt:lpstr>Profit and Loss (P&amp;L) Statement</vt:lpstr>
      <vt:lpstr>Cash Flow Statement</vt:lpstr>
      <vt:lpstr>Balance Sheet</vt:lpstr>
      <vt:lpstr>Financial 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Ghazi AL Mahayni</dc:creator>
  <cp:lastModifiedBy>LENOVO</cp:lastModifiedBy>
  <dcterms:created xsi:type="dcterms:W3CDTF">2022-10-24T14:10:00Z</dcterms:created>
  <dcterms:modified xsi:type="dcterms:W3CDTF">2025-10-30T21:05:32Z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705D2546C42F4182B2651C0BCC531CA7_12</vt:lpwstr>
  </property>
  <property fmtid="{D5CDD505-2E9C-101B-9397-08002B2CF9AE}" pid="3" name="KSOProductBuildVer">
    <vt:lpwstr>1033-12.2.0.22222</vt:lpwstr>
  </property>
</Properties>
</file>